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480" yWindow="60" windowWidth="11355" windowHeight="8700" activeTab="3"/>
  </bookViews>
  <sheets>
    <sheet name="main" sheetId="1" r:id="rId1"/>
    <sheet name="table" sheetId="2" state="hidden" r:id="rId2"/>
    <sheet name="powercurve" sheetId="3" state="hidden" r:id="rId3"/>
    <sheet name="variation-mean" sheetId="4" r:id="rId4"/>
    <sheet name="correlation" sheetId="5" state="hidden" r:id="rId5"/>
    <sheet name="graphs" sheetId="6" state="hidden" r:id="rId6"/>
    <sheet name="SE" sheetId="7" state="hidden" r:id="rId7"/>
    <sheet name="appendix" sheetId="8" state="hidden" r:id="rId8"/>
  </sheets>
  <externalReferences>
    <externalReference r:id="rId11"/>
    <externalReference r:id="rId12"/>
  </externalReferences>
  <definedNames>
    <definedName name="clt">'[2]CLT'!$A$1</definedName>
    <definedName name="failures">'[1]simulator'!$A$1</definedName>
    <definedName name="onetailed">#REF!</definedName>
    <definedName name="page1" localSheetId="3">'variation-mean'!#REF!</definedName>
    <definedName name="page1">'correlation'!#REF!</definedName>
    <definedName name="power">#REF!</definedName>
    <definedName name="powmean">#REF!</definedName>
    <definedName name="powprop">#REF!</definedName>
    <definedName name="prop">#REF!</definedName>
    <definedName name="regr">#REF!</definedName>
    <definedName name="sim">#REF!</definedName>
    <definedName name="twotailed">'[2]p-value'!$A$1</definedName>
  </definedNames>
  <calcPr fullCalcOnLoad="1"/>
</workbook>
</file>

<file path=xl/comments1.xml><?xml version="1.0" encoding="utf-8"?>
<comments xmlns="http://schemas.openxmlformats.org/spreadsheetml/2006/main">
  <authors>
    <author>Ken Gerow</author>
  </authors>
  <commentList>
    <comment ref="O18" authorId="0">
      <text>
        <r>
          <rPr>
            <sz val="8"/>
            <rFont val="Tahoma"/>
            <family val="0"/>
          </rPr>
          <t xml:space="preserve">design 1 (paired): df = n-1
Design 2 (ind, =n) and 
Design 3 (ind,  diff n): df = Satterthwaite
Design 4 (paired plus extra) df = complicated Satterthwaite using as one sample the paired data and as the other the differences between mean "1" and mean "3".
</t>
        </r>
      </text>
    </comment>
    <comment ref="O4" authorId="0">
      <text>
        <r>
          <rPr>
            <sz val="8"/>
            <rFont val="Tahoma"/>
            <family val="0"/>
          </rPr>
          <t>n2 is either the second sample, or, in the case of design 4 (paired plus extra), n2 is the size of the "extra" sample</t>
        </r>
      </text>
    </comment>
    <comment ref="O1" authorId="0">
      <text>
        <r>
          <rPr>
            <sz val="8"/>
            <rFont val="Tahoma"/>
            <family val="0"/>
          </rPr>
          <t>1 to compute power for an increase, 0 for a decrease.</t>
        </r>
      </text>
    </comment>
  </commentList>
</comments>
</file>

<file path=xl/comments2.xml><?xml version="1.0" encoding="utf-8"?>
<comments xmlns="http://schemas.openxmlformats.org/spreadsheetml/2006/main">
  <authors>
    <author>Ken Gerow</author>
  </authors>
  <commentList>
    <comment ref="H4" authorId="0">
      <text>
        <r>
          <rPr>
            <b/>
            <sz val="8"/>
            <rFont val="Tahoma"/>
            <family val="0"/>
          </rPr>
          <t>1: equal SD
2: arbitrary SDs
3: SD proportional to mean
4: Variance proportion to mean</t>
        </r>
      </text>
    </comment>
    <comment ref="L3" authorId="0">
      <text>
        <r>
          <rPr>
            <b/>
            <sz val="8"/>
            <rFont val="Tahoma"/>
            <family val="0"/>
          </rPr>
          <t>1: paired
2: independent, equal n
3: independent, different n
4: paired plus extra (independent) sample</t>
        </r>
      </text>
    </comment>
  </commentList>
</comments>
</file>

<file path=xl/comments3.xml><?xml version="1.0" encoding="utf-8"?>
<comments xmlns="http://schemas.openxmlformats.org/spreadsheetml/2006/main">
  <authors>
    <author>Ken Gerow</author>
  </authors>
  <commentList>
    <comment ref="L2" authorId="0">
      <text>
        <r>
          <rPr>
            <sz val="8"/>
            <rFont val="Tahoma"/>
            <family val="0"/>
          </rPr>
          <t>1 to compute power for an increase, 0 for a decrease.</t>
        </r>
      </text>
    </comment>
    <comment ref="L5" authorId="0">
      <text>
        <r>
          <rPr>
            <sz val="8"/>
            <rFont val="Tahoma"/>
            <family val="0"/>
          </rPr>
          <t>n2 is either the second sample, or, in the case of design 4 (paired plus extra), n2 is the size of the "extra" sample</t>
        </r>
      </text>
    </comment>
  </commentList>
</comments>
</file>

<file path=xl/sharedStrings.xml><?xml version="1.0" encoding="utf-8"?>
<sst xmlns="http://schemas.openxmlformats.org/spreadsheetml/2006/main" count="213" uniqueCount="128">
  <si>
    <t>alpha</t>
  </si>
  <si>
    <t>power</t>
  </si>
  <si>
    <t>Z-sub-beta</t>
  </si>
  <si>
    <t>end</t>
  </si>
  <si>
    <t>step</t>
  </si>
  <si>
    <t>percent change</t>
  </si>
  <si>
    <t>alternate mean</t>
  </si>
  <si>
    <t>correlation</t>
  </si>
  <si>
    <t>t-sub-alpha</t>
  </si>
  <si>
    <t>n1</t>
  </si>
  <si>
    <t>n2</t>
  </si>
  <si>
    <t>s1^2</t>
  </si>
  <si>
    <t>s2^2</t>
  </si>
  <si>
    <t>df</t>
  </si>
  <si>
    <t>start</t>
  </si>
  <si>
    <t>null SE</t>
  </si>
  <si>
    <t>alt SE</t>
  </si>
  <si>
    <t>tcrit</t>
  </si>
  <si>
    <t>tailedness</t>
  </si>
  <si>
    <t>delta</t>
  </si>
  <si>
    <t>sediff</t>
  </si>
  <si>
    <t>num</t>
  </si>
  <si>
    <t>den</t>
  </si>
  <si>
    <t>w1</t>
  </si>
  <si>
    <t>w2</t>
  </si>
  <si>
    <t>V1^-1</t>
  </si>
  <si>
    <t>V2^-1</t>
  </si>
  <si>
    <t>Satterthwaite</t>
  </si>
  <si>
    <t>alt mean</t>
  </si>
  <si>
    <t>sd design</t>
  </si>
  <si>
    <t>X</t>
  </si>
  <si>
    <t>Null</t>
  </si>
  <si>
    <t>alt</t>
  </si>
  <si>
    <t>null mean</t>
  </si>
  <si>
    <t>means</t>
  </si>
  <si>
    <t>sd ratio</t>
  </si>
  <si>
    <t>second sample</t>
  </si>
  <si>
    <t xml:space="preserve">first sample: </t>
  </si>
  <si>
    <t>"third" sample</t>
  </si>
  <si>
    <t>Use spin button to select</t>
  </si>
  <si>
    <t>The graphs are scaled so the "null" curve is centered on zero, the "alternate" on the size of difference you specified.  They are also scaled to standard errors in accord with your settings.</t>
  </si>
  <si>
    <t>null hypothesis</t>
  </si>
  <si>
    <t>greater-than</t>
  </si>
  <si>
    <t>less-than</t>
  </si>
  <si>
    <t>SE:</t>
  </si>
  <si>
    <t>for graphs (&lt; and &gt;)</t>
  </si>
  <si>
    <r>
      <t>These curves depict (standardized) values of the difference in means (mean of differences if paired data). The</t>
    </r>
    <r>
      <rPr>
        <sz val="10"/>
        <color indexed="18"/>
        <rFont val="Arial"/>
        <family val="2"/>
      </rPr>
      <t xml:space="preserve"> blue</t>
    </r>
    <r>
      <rPr>
        <sz val="10"/>
        <rFont val="Arial"/>
        <family val="2"/>
      </rPr>
      <t xml:space="preserve"> curve represents values one would expect under the null; the orange curves represent values in accord with the specified alternate.</t>
    </r>
  </si>
  <si>
    <t>The null and alternate distributions are different depending on sample size, effect size, and variation patterns.  If variation proportional to means is specified, the alternate will be skinnier for a "less than " alternate than for a "greater than" alternate.</t>
  </si>
  <si>
    <t>mean nonct</t>
  </si>
  <si>
    <t>SD nct</t>
  </si>
  <si>
    <t>difference</t>
  </si>
  <si>
    <t>difference:</t>
  </si>
  <si>
    <t>Sample size and power calculations for two samples (when estimating means).</t>
  </si>
  <si>
    <t>Biological data often exhibits variation that is somehow proportional to means. This tool was built to facilitate flexibility in modeling that variation/mean pattern, and to allow different sampling designs (paired, unpaired, equal or unequal sample sizes) for power/sample size calculations.</t>
  </si>
  <si>
    <t>Summaries</t>
  </si>
  <si>
    <t>x</t>
  </si>
  <si>
    <t>orig y</t>
  </si>
  <si>
    <t>obs. Y</t>
  </si>
  <si>
    <t>fitted</t>
  </si>
  <si>
    <t>resids</t>
  </si>
  <si>
    <t>SD(X)</t>
  </si>
  <si>
    <t>Int</t>
  </si>
  <si>
    <t>Slope</t>
  </si>
  <si>
    <t>SD(Y)</t>
  </si>
  <si>
    <t>X-bar</t>
  </si>
  <si>
    <t>Y-bar</t>
  </si>
  <si>
    <t>Mean of Y:</t>
  </si>
  <si>
    <t>SD of Y:</t>
  </si>
  <si>
    <t>SD of residuals:</t>
  </si>
  <si>
    <t>Correlation</t>
  </si>
  <si>
    <t>Mean of X:</t>
  </si>
  <si>
    <t>SD of X:</t>
  </si>
  <si>
    <r>
      <t>R</t>
    </r>
    <r>
      <rPr>
        <b/>
        <vertAlign val="superscript"/>
        <sz val="10"/>
        <rFont val="Arial"/>
        <family val="2"/>
      </rPr>
      <t>2</t>
    </r>
  </si>
  <si>
    <t>For this sheet, I chose to keep the SD of Y and of X constant. This causes the slope to get steeper as correlation gets more extreme. In real life, a large correlation can be associated with a small or large slope. The scale I chose (mean and SD of Y and X) are not important in the sense that if you have different values, a given correlation would have a similar appearance when graphed.</t>
  </si>
  <si>
    <t>This tool will give you a feel for the correlation between two samples. How similar do you think two paired samples (n = 20) would be in a setting like yours?</t>
  </si>
  <si>
    <t>SDs or Variances</t>
  </si>
  <si>
    <t>Observed</t>
  </si>
  <si>
    <t>Selections</t>
  </si>
  <si>
    <t>Min X</t>
  </si>
  <si>
    <t>Max X</t>
  </si>
  <si>
    <t>Summary of SD/mean and Variance/mean ratios</t>
  </si>
  <si>
    <t>Min Y</t>
  </si>
  <si>
    <t>Max Y</t>
  </si>
  <si>
    <t>SD</t>
  </si>
  <si>
    <t>Variance</t>
  </si>
  <si>
    <t>mean</t>
  </si>
  <si>
    <t>C.V.</t>
  </si>
  <si>
    <t>SDs versus means</t>
  </si>
  <si>
    <t>variances versus means</t>
  </si>
  <si>
    <t>increase?</t>
  </si>
  <si>
    <t>4th var term</t>
  </si>
  <si>
    <t>Var term 1</t>
  </si>
  <si>
    <t>2nd Var term</t>
  </si>
  <si>
    <t>3rd Var term</t>
  </si>
  <si>
    <t>pre-sets</t>
  </si>
  <si>
    <t>steps</t>
  </si>
  <si>
    <t>var mean 1</t>
  </si>
  <si>
    <t>Var 2</t>
  </si>
  <si>
    <t>3rd Var</t>
  </si>
  <si>
    <t>2nd var</t>
  </si>
  <si>
    <t>4th Var</t>
  </si>
  <si>
    <t>tailedness of test</t>
  </si>
  <si>
    <t>initial mean</t>
  </si>
  <si>
    <t>variation pattern</t>
  </si>
  <si>
    <t>Design</t>
  </si>
  <si>
    <t>n3 (if any)</t>
  </si>
  <si>
    <t>Test Inputs (from main sheet). If these aren't what you want, return and change them</t>
  </si>
  <si>
    <t>Alternate</t>
  </si>
  <si>
    <t>Enter a minimum and a maximum mean for which you would like the power curve, then click on Go!</t>
  </si>
  <si>
    <t>Min</t>
  </si>
  <si>
    <t>Max</t>
  </si>
  <si>
    <t>min Y</t>
  </si>
  <si>
    <t>max Y</t>
  </si>
  <si>
    <t xml:space="preserve">Null </t>
  </si>
  <si>
    <t>Variation Model</t>
  </si>
  <si>
    <t>Null mean</t>
  </si>
  <si>
    <t>2nd SD</t>
  </si>
  <si>
    <t xml:space="preserve">Tails </t>
  </si>
  <si>
    <t>Power</t>
  </si>
  <si>
    <t>run</t>
  </si>
  <si>
    <t>in test</t>
  </si>
  <si>
    <t>size</t>
  </si>
  <si>
    <t>direction</t>
  </si>
  <si>
    <t>parameter</t>
  </si>
  <si>
    <t>estimate</t>
  </si>
  <si>
    <t>(if any)</t>
  </si>
  <si>
    <t>Code</t>
  </si>
  <si>
    <t>MEAN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</si>
</sst>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h:mm:ss\ AM/PM"/>
    <numFmt numFmtId="166" formatCode="0.0"/>
    <numFmt numFmtId="167" formatCode="0.000%"/>
    <numFmt numFmtId="168" formatCode="0.0000"/>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
    <numFmt numFmtId="175" formatCode="0.00000000000000000000"/>
  </numFmts>
  <fonts count="57">
    <font>
      <sz val="10"/>
      <name val="Arial"/>
      <family val="0"/>
    </font>
    <font>
      <b/>
      <sz val="10"/>
      <name val="Arial"/>
      <family val="0"/>
    </font>
    <font>
      <sz val="8"/>
      <name val="Arial"/>
      <family val="0"/>
    </font>
    <font>
      <sz val="10"/>
      <color indexed="9"/>
      <name val="Arial"/>
      <family val="0"/>
    </font>
    <font>
      <u val="single"/>
      <sz val="10"/>
      <color indexed="12"/>
      <name val="Arial"/>
      <family val="0"/>
    </font>
    <font>
      <u val="single"/>
      <sz val="10"/>
      <color indexed="36"/>
      <name val="Arial"/>
      <family val="0"/>
    </font>
    <font>
      <b/>
      <sz val="10"/>
      <color indexed="9"/>
      <name val="Arial"/>
      <family val="0"/>
    </font>
    <font>
      <b/>
      <sz val="9"/>
      <name val="Arial"/>
      <family val="0"/>
    </font>
    <font>
      <sz val="9"/>
      <name val="Arial"/>
      <family val="2"/>
    </font>
    <font>
      <b/>
      <sz val="12"/>
      <name val="Arial"/>
      <family val="0"/>
    </font>
    <font>
      <sz val="10"/>
      <color indexed="18"/>
      <name val="Arial"/>
      <family val="2"/>
    </font>
    <font>
      <b/>
      <vertAlign val="superscript"/>
      <sz val="10"/>
      <name val="Arial"/>
      <family val="2"/>
    </font>
    <font>
      <sz val="16"/>
      <name val="Arial"/>
      <family val="0"/>
    </font>
    <font>
      <sz val="12"/>
      <name val="Times New Roman"/>
      <family val="1"/>
    </font>
    <font>
      <b/>
      <sz val="8"/>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5"/>
      <color indexed="8"/>
      <name val="Arial"/>
      <family val="0"/>
    </font>
    <font>
      <sz val="11"/>
      <color indexed="8"/>
      <name val="Arial"/>
      <family val="0"/>
    </font>
    <font>
      <b/>
      <sz val="10.25"/>
      <color indexed="8"/>
      <name val="Arial"/>
      <family val="0"/>
    </font>
    <font>
      <sz val="5.75"/>
      <color indexed="8"/>
      <name val="Arial"/>
      <family val="0"/>
    </font>
    <font>
      <sz val="5.25"/>
      <color indexed="8"/>
      <name val="Arial"/>
      <family val="0"/>
    </font>
    <font>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ck">
        <color indexed="53"/>
      </right>
      <top style="thick">
        <color indexed="53"/>
      </top>
      <bottom>
        <color indexed="63"/>
      </bottom>
    </border>
    <border>
      <left style="thick">
        <color indexed="53"/>
      </left>
      <right>
        <color indexed="63"/>
      </right>
      <top>
        <color indexed="63"/>
      </top>
      <bottom>
        <color indexed="63"/>
      </bottom>
    </border>
    <border>
      <left>
        <color indexed="63"/>
      </left>
      <right style="thick">
        <color indexed="53"/>
      </right>
      <top>
        <color indexed="63"/>
      </top>
      <bottom>
        <color indexed="63"/>
      </bottom>
    </border>
    <border>
      <left>
        <color indexed="63"/>
      </left>
      <right style="thick">
        <color indexed="53"/>
      </right>
      <top>
        <color indexed="63"/>
      </top>
      <bottom style="thick">
        <color indexed="53"/>
      </bottom>
    </border>
    <border>
      <left style="thick">
        <color indexed="53"/>
      </left>
      <right>
        <color indexed="63"/>
      </right>
      <top style="thick">
        <color indexed="53"/>
      </top>
      <bottom>
        <color indexed="63"/>
      </bottom>
    </border>
    <border>
      <left>
        <color indexed="63"/>
      </left>
      <right>
        <color indexed="63"/>
      </right>
      <top style="thick">
        <color indexed="53"/>
      </top>
      <bottom>
        <color indexed="63"/>
      </bottom>
    </border>
    <border>
      <left style="thick">
        <color indexed="53"/>
      </left>
      <right>
        <color indexed="63"/>
      </right>
      <top>
        <color indexed="63"/>
      </top>
      <bottom style="thick">
        <color indexed="53"/>
      </bottom>
    </border>
    <border>
      <left>
        <color indexed="63"/>
      </left>
      <right>
        <color indexed="63"/>
      </right>
      <top>
        <color indexed="63"/>
      </top>
      <bottom style="thick">
        <color indexed="53"/>
      </bottom>
    </border>
    <border>
      <left>
        <color indexed="63"/>
      </left>
      <right style="thick"/>
      <top>
        <color indexed="63"/>
      </top>
      <bottom>
        <color indexed="63"/>
      </bottom>
    </border>
    <border>
      <left style="medium"/>
      <right style="medium"/>
      <top style="medium"/>
      <bottom style="medium"/>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ck"/>
    </border>
    <border>
      <left style="medium"/>
      <right>
        <color indexed="63"/>
      </right>
      <top>
        <color indexed="63"/>
      </top>
      <bottom style="thick"/>
    </border>
    <border>
      <left>
        <color indexed="63"/>
      </left>
      <right style="medium"/>
      <top>
        <color indexed="63"/>
      </top>
      <bottom style="thick"/>
    </border>
    <border>
      <left style="thick">
        <color indexed="17"/>
      </left>
      <right>
        <color indexed="63"/>
      </right>
      <top style="thick">
        <color indexed="17"/>
      </top>
      <bottom>
        <color indexed="63"/>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style="thick">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thick">
        <color indexed="17"/>
      </right>
      <top>
        <color indexed="63"/>
      </top>
      <bottom style="double">
        <color indexed="17"/>
      </bottom>
    </border>
    <border>
      <left style="thick">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thick">
        <color indexed="17"/>
      </right>
      <top style="double">
        <color indexed="17"/>
      </top>
      <bottom>
        <color indexed="63"/>
      </bottom>
    </border>
    <border>
      <left style="thick">
        <color indexed="17"/>
      </left>
      <right>
        <color indexed="63"/>
      </right>
      <top>
        <color indexed="63"/>
      </top>
      <bottom>
        <color indexed="63"/>
      </bottom>
    </border>
    <border>
      <left>
        <color indexed="63"/>
      </left>
      <right style="thick">
        <color indexed="17"/>
      </right>
      <top>
        <color indexed="63"/>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style="thick">
        <color indexed="17"/>
      </right>
      <top>
        <color indexed="63"/>
      </top>
      <bottom style="thick">
        <color indexed="17"/>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9">
    <xf numFmtId="0" fontId="0" fillId="0" borderId="0" xfId="0" applyAlignment="1">
      <alignment/>
    </xf>
    <xf numFmtId="0" fontId="0" fillId="0" borderId="0" xfId="0" applyFill="1" applyAlignment="1">
      <alignment/>
    </xf>
    <xf numFmtId="0" fontId="0" fillId="0" borderId="0" xfId="0" applyBorder="1" applyAlignment="1">
      <alignment/>
    </xf>
    <xf numFmtId="0" fontId="7" fillId="0" borderId="0" xfId="0" applyFont="1" applyFill="1" applyAlignment="1">
      <alignment horizontal="right"/>
    </xf>
    <xf numFmtId="0" fontId="1" fillId="0" borderId="0" xfId="0" applyFont="1" applyFill="1" applyAlignment="1" applyProtection="1">
      <alignment horizontal="center"/>
      <protection hidden="1"/>
    </xf>
    <xf numFmtId="0" fontId="0" fillId="0" borderId="0" xfId="0" applyFont="1" applyAlignment="1">
      <alignment/>
    </xf>
    <xf numFmtId="164" fontId="0" fillId="0" borderId="0" xfId="0" applyNumberFormat="1" applyFont="1" applyAlignment="1">
      <alignment/>
    </xf>
    <xf numFmtId="0" fontId="0" fillId="0" borderId="0" xfId="0" applyFont="1" applyFill="1" applyAlignment="1">
      <alignment/>
    </xf>
    <xf numFmtId="0" fontId="1" fillId="0" borderId="0" xfId="0" applyFont="1" applyAlignment="1">
      <alignment/>
    </xf>
    <xf numFmtId="0" fontId="0" fillId="0" borderId="10" xfId="0" applyBorder="1" applyAlignment="1">
      <alignment/>
    </xf>
    <xf numFmtId="0" fontId="1" fillId="33" borderId="11" xfId="0" applyFont="1" applyFill="1" applyBorder="1" applyAlignment="1">
      <alignment horizontal="center"/>
    </xf>
    <xf numFmtId="0" fontId="0" fillId="0" borderId="0" xfId="0" applyBorder="1" applyAlignment="1" applyProtection="1">
      <alignment/>
      <protection locked="0"/>
    </xf>
    <xf numFmtId="0" fontId="0" fillId="0" borderId="12" xfId="0" applyBorder="1" applyAlignment="1">
      <alignment/>
    </xf>
    <xf numFmtId="0" fontId="0" fillId="0" borderId="11" xfId="0" applyBorder="1" applyAlignment="1">
      <alignment/>
    </xf>
    <xf numFmtId="0" fontId="0" fillId="0" borderId="0" xfId="0" applyBorder="1" applyAlignment="1">
      <alignment/>
    </xf>
    <xf numFmtId="0" fontId="1" fillId="34" borderId="11" xfId="0" applyFont="1" applyFill="1" applyBorder="1" applyAlignment="1">
      <alignment horizontal="right"/>
    </xf>
    <xf numFmtId="0" fontId="1" fillId="35" borderId="0" xfId="0" applyFont="1" applyFill="1" applyBorder="1" applyAlignment="1" applyProtection="1">
      <alignment horizontal="center"/>
      <protection locked="0"/>
    </xf>
    <xf numFmtId="0" fontId="1" fillId="33" borderId="0" xfId="0" applyFont="1" applyFill="1" applyBorder="1" applyAlignment="1" applyProtection="1">
      <alignment horizontal="center"/>
      <protection hidden="1"/>
    </xf>
    <xf numFmtId="0" fontId="0" fillId="0" borderId="13" xfId="0" applyBorder="1" applyAlignment="1">
      <alignment/>
    </xf>
    <xf numFmtId="164" fontId="6" fillId="0" borderId="0" xfId="0" applyNumberFormat="1" applyFont="1" applyFill="1" applyBorder="1" applyAlignment="1" applyProtection="1">
      <alignment horizontal="center"/>
      <protection hidden="1"/>
    </xf>
    <xf numFmtId="0" fontId="0" fillId="0" borderId="14" xfId="0" applyBorder="1" applyAlignment="1">
      <alignment/>
    </xf>
    <xf numFmtId="0" fontId="0" fillId="0" borderId="15" xfId="0" applyBorder="1" applyAlignment="1">
      <alignment/>
    </xf>
    <xf numFmtId="0" fontId="6" fillId="0" borderId="11" xfId="0" applyFont="1" applyFill="1" applyBorder="1" applyAlignment="1">
      <alignment horizontal="right"/>
    </xf>
    <xf numFmtId="0" fontId="0" fillId="0" borderId="16" xfId="0" applyBorder="1" applyAlignment="1">
      <alignment/>
    </xf>
    <xf numFmtId="0" fontId="0" fillId="0" borderId="17" xfId="0" applyBorder="1" applyAlignment="1">
      <alignment/>
    </xf>
    <xf numFmtId="0" fontId="7" fillId="34" borderId="11" xfId="0" applyFont="1" applyFill="1" applyBorder="1" applyAlignment="1">
      <alignment horizontal="right"/>
    </xf>
    <xf numFmtId="0" fontId="7" fillId="34" borderId="11" xfId="0" applyFont="1" applyFill="1" applyBorder="1" applyAlignment="1">
      <alignment horizontal="right"/>
    </xf>
    <xf numFmtId="0" fontId="7" fillId="0" borderId="11" xfId="0" applyFont="1" applyFill="1" applyBorder="1" applyAlignment="1">
      <alignment horizontal="right"/>
    </xf>
    <xf numFmtId="0" fontId="6" fillId="0" borderId="0" xfId="0" applyFont="1" applyFill="1" applyBorder="1" applyAlignment="1" applyProtection="1">
      <alignment horizontal="center"/>
      <protection locked="0"/>
    </xf>
    <xf numFmtId="0" fontId="8" fillId="0" borderId="0" xfId="0" applyFont="1" applyFill="1" applyBorder="1" applyAlignment="1">
      <alignment/>
    </xf>
    <xf numFmtId="0" fontId="0" fillId="0" borderId="15" xfId="0" applyBorder="1" applyAlignment="1" applyProtection="1">
      <alignment/>
      <protection locked="0"/>
    </xf>
    <xf numFmtId="9" fontId="1" fillId="33" borderId="0" xfId="0" applyNumberFormat="1" applyFont="1" applyFill="1" applyBorder="1" applyAlignment="1" applyProtection="1">
      <alignment horizontal="center"/>
      <protection hidden="1"/>
    </xf>
    <xf numFmtId="0" fontId="1" fillId="0" borderId="11" xfId="0" applyFont="1" applyFill="1" applyBorder="1" applyAlignment="1">
      <alignment horizontal="center" vertical="center"/>
    </xf>
    <xf numFmtId="0" fontId="1" fillId="33" borderId="0" xfId="0" applyFont="1" applyFill="1" applyBorder="1" applyAlignment="1" applyProtection="1">
      <alignment horizontal="center"/>
      <protection/>
    </xf>
    <xf numFmtId="0" fontId="1" fillId="34" borderId="11" xfId="0" applyFont="1" applyFill="1" applyBorder="1" applyAlignment="1">
      <alignment horizontal="right"/>
    </xf>
    <xf numFmtId="0" fontId="0" fillId="0" borderId="0" xfId="0" applyFont="1" applyAlignment="1">
      <alignment horizontal="right"/>
    </xf>
    <xf numFmtId="0" fontId="0" fillId="0" borderId="0" xfId="0" applyFont="1" applyAlignment="1">
      <alignment/>
    </xf>
    <xf numFmtId="0" fontId="1" fillId="34" borderId="0" xfId="0" applyFont="1" applyFill="1" applyBorder="1" applyAlignment="1">
      <alignment horizontal="right" vertical="center"/>
    </xf>
    <xf numFmtId="0" fontId="1" fillId="0" borderId="0" xfId="0" applyFont="1" applyFill="1" applyBorder="1" applyAlignment="1">
      <alignment horizontal="right" vertical="center"/>
    </xf>
    <xf numFmtId="0" fontId="3" fillId="36" borderId="0" xfId="0" applyFont="1" applyFill="1" applyAlignment="1">
      <alignment/>
    </xf>
    <xf numFmtId="0" fontId="0" fillId="0" borderId="0" xfId="0" applyFill="1" applyBorder="1" applyAlignment="1">
      <alignment horizontal="left"/>
    </xf>
    <xf numFmtId="0" fontId="6" fillId="0" borderId="0" xfId="0" applyFont="1" applyFill="1" applyBorder="1" applyAlignment="1">
      <alignment horizontal="right"/>
    </xf>
    <xf numFmtId="0" fontId="1" fillId="0" borderId="0" xfId="0" applyFont="1" applyFill="1" applyBorder="1" applyAlignment="1" applyProtection="1">
      <alignment horizontal="center"/>
      <protection hidden="1"/>
    </xf>
    <xf numFmtId="0" fontId="0" fillId="0" borderId="11" xfId="0" applyFont="1" applyBorder="1" applyAlignment="1">
      <alignment/>
    </xf>
    <xf numFmtId="1" fontId="1" fillId="33" borderId="12" xfId="0" applyNumberFormat="1" applyFont="1" applyFill="1" applyBorder="1" applyAlignment="1" applyProtection="1">
      <alignment horizontal="center"/>
      <protection hidden="1"/>
    </xf>
    <xf numFmtId="0" fontId="3" fillId="0" borderId="12" xfId="0" applyFont="1" applyBorder="1" applyAlignment="1" applyProtection="1">
      <alignment/>
      <protection locked="0"/>
    </xf>
    <xf numFmtId="0" fontId="0" fillId="0" borderId="0" xfId="0" applyFont="1" applyFill="1" applyBorder="1" applyAlignment="1">
      <alignment/>
    </xf>
    <xf numFmtId="0" fontId="0" fillId="0" borderId="17" xfId="0" applyFill="1" applyBorder="1" applyAlignment="1">
      <alignment/>
    </xf>
    <xf numFmtId="0" fontId="3" fillId="0" borderId="12" xfId="0" applyFont="1" applyBorder="1" applyAlignment="1" applyProtection="1">
      <alignment/>
      <protection locked="0"/>
    </xf>
    <xf numFmtId="0" fontId="3" fillId="0" borderId="0" xfId="0" applyFont="1" applyAlignment="1">
      <alignment/>
    </xf>
    <xf numFmtId="0" fontId="0" fillId="0" borderId="0" xfId="0" applyFont="1" applyFill="1" applyAlignment="1">
      <alignment horizontal="center"/>
    </xf>
    <xf numFmtId="0" fontId="1" fillId="33" borderId="0" xfId="0" applyFont="1" applyFill="1" applyAlignment="1">
      <alignment horizontal="center"/>
    </xf>
    <xf numFmtId="0" fontId="0" fillId="34" borderId="0" xfId="0" applyFill="1" applyAlignment="1">
      <alignment horizontal="right"/>
    </xf>
    <xf numFmtId="0" fontId="1" fillId="0" borderId="0" xfId="0" applyFont="1" applyFill="1" applyAlignment="1">
      <alignment horizontal="center"/>
    </xf>
    <xf numFmtId="164" fontId="1" fillId="33" borderId="0" xfId="0" applyNumberFormat="1" applyFont="1" applyFill="1" applyAlignment="1">
      <alignment horizontal="center"/>
    </xf>
    <xf numFmtId="0" fontId="8" fillId="0" borderId="0" xfId="0" applyFont="1" applyAlignment="1">
      <alignment/>
    </xf>
    <xf numFmtId="0" fontId="0" fillId="0" borderId="0" xfId="0" applyFill="1" applyAlignment="1">
      <alignment horizontal="right"/>
    </xf>
    <xf numFmtId="164" fontId="1" fillId="0" borderId="0" xfId="0" applyNumberFormat="1" applyFont="1" applyFill="1" applyAlignment="1">
      <alignment horizontal="center"/>
    </xf>
    <xf numFmtId="0" fontId="3" fillId="0" borderId="0" xfId="0" applyFont="1" applyAlignment="1">
      <alignment horizontal="right"/>
    </xf>
    <xf numFmtId="0" fontId="0" fillId="37" borderId="0" xfId="0" applyFill="1" applyAlignment="1">
      <alignment/>
    </xf>
    <xf numFmtId="2" fontId="1" fillId="33" borderId="0" xfId="0" applyNumberFormat="1" applyFont="1" applyFill="1" applyAlignment="1">
      <alignment horizontal="center"/>
    </xf>
    <xf numFmtId="0" fontId="12"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Alignment="1">
      <alignment/>
    </xf>
    <xf numFmtId="0" fontId="0" fillId="0" borderId="0" xfId="0" applyFill="1" applyBorder="1" applyAlignment="1">
      <alignment horizontal="center"/>
    </xf>
    <xf numFmtId="0" fontId="1" fillId="0" borderId="0" xfId="0" applyFont="1" applyFill="1" applyAlignment="1">
      <alignment horizontal="right"/>
    </xf>
    <xf numFmtId="0" fontId="1" fillId="0" borderId="0" xfId="0" applyFont="1" applyFill="1" applyAlignment="1" applyProtection="1">
      <alignment horizontal="center"/>
      <protection/>
    </xf>
    <xf numFmtId="0" fontId="0" fillId="0" borderId="0" xfId="0" applyFill="1" applyAlignment="1">
      <alignment/>
    </xf>
    <xf numFmtId="0" fontId="1" fillId="0" borderId="0" xfId="0" applyFont="1" applyFill="1" applyAlignment="1">
      <alignment horizontal="right"/>
    </xf>
    <xf numFmtId="2" fontId="1" fillId="0" borderId="0" xfId="0" applyNumberFormat="1" applyFont="1" applyFill="1" applyAlignment="1">
      <alignment horizontal="center"/>
    </xf>
    <xf numFmtId="168" fontId="1" fillId="0" borderId="0" xfId="0" applyNumberFormat="1" applyFont="1" applyFill="1" applyAlignment="1">
      <alignment horizontal="center" wrapText="1"/>
    </xf>
    <xf numFmtId="0" fontId="1" fillId="0" borderId="0" xfId="0" applyFont="1" applyAlignment="1">
      <alignment horizontal="right"/>
    </xf>
    <xf numFmtId="0" fontId="1" fillId="0" borderId="0" xfId="0" applyFont="1" applyFill="1" applyAlignment="1">
      <alignment horizontal="right" wrapText="1"/>
    </xf>
    <xf numFmtId="0" fontId="0" fillId="0" borderId="0" xfId="0" applyAlignment="1" applyProtection="1">
      <alignment/>
      <protection locked="0"/>
    </xf>
    <xf numFmtId="0" fontId="1" fillId="0" borderId="0" xfId="0" applyFont="1" applyFill="1" applyAlignment="1">
      <alignment wrapText="1"/>
    </xf>
    <xf numFmtId="0" fontId="0" fillId="0" borderId="0" xfId="0" applyFont="1" applyFill="1" applyAlignment="1">
      <alignment vertical="center"/>
    </xf>
    <xf numFmtId="0" fontId="1" fillId="33" borderId="0" xfId="0" applyFont="1" applyFill="1" applyAlignment="1" applyProtection="1">
      <alignment horizontal="center"/>
      <protection/>
    </xf>
    <xf numFmtId="0" fontId="1" fillId="0" borderId="0" xfId="0" applyFont="1" applyFill="1" applyAlignment="1" applyProtection="1">
      <alignment horizontal="center"/>
      <protection locked="0"/>
    </xf>
    <xf numFmtId="0" fontId="0" fillId="0" borderId="0" xfId="0" applyFont="1" applyFill="1" applyAlignment="1">
      <alignment/>
    </xf>
    <xf numFmtId="10" fontId="1" fillId="33" borderId="0" xfId="0" applyNumberFormat="1" applyFont="1" applyFill="1" applyAlignment="1">
      <alignment horizontal="center"/>
    </xf>
    <xf numFmtId="0" fontId="0" fillId="0" borderId="0" xfId="0" applyFill="1" applyBorder="1" applyAlignment="1">
      <alignment/>
    </xf>
    <xf numFmtId="0" fontId="1" fillId="36" borderId="0" xfId="0" applyFont="1" applyFill="1" applyBorder="1" applyAlignment="1">
      <alignment horizontal="center"/>
    </xf>
    <xf numFmtId="0" fontId="1" fillId="35" borderId="0" xfId="0" applyFont="1" applyFill="1" applyAlignment="1">
      <alignment horizontal="center"/>
    </xf>
    <xf numFmtId="0" fontId="13" fillId="36" borderId="0" xfId="0" applyFont="1" applyFill="1" applyBorder="1" applyAlignment="1">
      <alignment vertical="top" wrapText="1"/>
    </xf>
    <xf numFmtId="0" fontId="1" fillId="36" borderId="0" xfId="0" applyFont="1" applyFill="1" applyAlignment="1">
      <alignment horizontal="center"/>
    </xf>
    <xf numFmtId="174" fontId="1" fillId="0" borderId="0" xfId="0" applyNumberFormat="1" applyFont="1" applyFill="1" applyAlignment="1">
      <alignment horizontal="center"/>
    </xf>
    <xf numFmtId="0" fontId="1" fillId="36"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4" fillId="38" borderId="18" xfId="0" applyFont="1" applyFill="1" applyBorder="1" applyAlignment="1">
      <alignment horizontal="center"/>
    </xf>
    <xf numFmtId="0" fontId="14" fillId="38" borderId="0" xfId="0" applyFont="1" applyFill="1" applyAlignment="1">
      <alignment horizontal="center"/>
    </xf>
    <xf numFmtId="0" fontId="1" fillId="34" borderId="0" xfId="0" applyFont="1" applyFill="1" applyAlignment="1">
      <alignment horizontal="center"/>
    </xf>
    <xf numFmtId="0" fontId="14" fillId="33" borderId="0" xfId="0" applyFont="1" applyFill="1" applyAlignment="1">
      <alignment horizontal="center"/>
    </xf>
    <xf numFmtId="0" fontId="1" fillId="34" borderId="0" xfId="0" applyFont="1" applyFill="1" applyAlignment="1">
      <alignment/>
    </xf>
    <xf numFmtId="0" fontId="1" fillId="34" borderId="0" xfId="0" applyFont="1" applyFill="1" applyAlignment="1">
      <alignment horizontal="right"/>
    </xf>
    <xf numFmtId="0" fontId="1" fillId="33" borderId="18" xfId="0" applyFont="1" applyFill="1" applyBorder="1" applyAlignment="1">
      <alignment horizontal="center"/>
    </xf>
    <xf numFmtId="0" fontId="1" fillId="39" borderId="0" xfId="0" applyFont="1" applyFill="1" applyAlignment="1" applyProtection="1">
      <alignment horizontal="center"/>
      <protection locked="0"/>
    </xf>
    <xf numFmtId="0" fontId="1" fillId="0" borderId="0" xfId="0" applyFont="1" applyAlignment="1">
      <alignment horizontal="center"/>
    </xf>
    <xf numFmtId="0" fontId="1" fillId="34" borderId="19" xfId="0" applyFont="1" applyFill="1" applyBorder="1" applyAlignment="1">
      <alignment horizontal="center"/>
    </xf>
    <xf numFmtId="0" fontId="1" fillId="0" borderId="0" xfId="0" applyFont="1" applyFill="1" applyAlignment="1" applyProtection="1">
      <alignment horizontal="right"/>
      <protection locked="0"/>
    </xf>
    <xf numFmtId="174" fontId="1" fillId="34" borderId="19" xfId="0" applyNumberFormat="1" applyFont="1" applyFill="1" applyBorder="1" applyAlignment="1">
      <alignment horizontal="center"/>
    </xf>
    <xf numFmtId="0" fontId="1" fillId="35" borderId="0" xfId="0" applyFont="1" applyFill="1" applyAlignment="1" applyProtection="1">
      <alignment horizontal="center"/>
      <protection locked="0"/>
    </xf>
    <xf numFmtId="0" fontId="1" fillId="36" borderId="0" xfId="0" applyFont="1" applyFill="1" applyAlignment="1" applyProtection="1">
      <alignment horizontal="center"/>
      <protection locked="0"/>
    </xf>
    <xf numFmtId="0" fontId="0" fillId="36" borderId="0" xfId="0" applyFill="1" applyAlignment="1">
      <alignment/>
    </xf>
    <xf numFmtId="1" fontId="0" fillId="0" borderId="0" xfId="0" applyNumberFormat="1" applyFont="1" applyAlignment="1">
      <alignment/>
    </xf>
    <xf numFmtId="0" fontId="0" fillId="36" borderId="0" xfId="0" applyFont="1" applyFill="1" applyBorder="1" applyAlignment="1">
      <alignment horizontal="center"/>
    </xf>
    <xf numFmtId="0" fontId="0" fillId="0" borderId="11" xfId="0" applyFont="1" applyBorder="1" applyAlignment="1">
      <alignment/>
    </xf>
    <xf numFmtId="0" fontId="0" fillId="0" borderId="0" xfId="0" applyFont="1" applyFill="1" applyAlignment="1">
      <alignment/>
    </xf>
    <xf numFmtId="0" fontId="0" fillId="0" borderId="11" xfId="0" applyFont="1" applyBorder="1" applyAlignment="1">
      <alignment horizontal="right"/>
    </xf>
    <xf numFmtId="0" fontId="0" fillId="36" borderId="0" xfId="0" applyFont="1" applyFill="1" applyBorder="1" applyAlignment="1">
      <alignment horizontal="center" vertical="center"/>
    </xf>
    <xf numFmtId="0" fontId="0" fillId="0" borderId="11" xfId="0" applyFont="1" applyBorder="1" applyAlignment="1">
      <alignment/>
    </xf>
    <xf numFmtId="2" fontId="1" fillId="36" borderId="0" xfId="0" applyNumberFormat="1" applyFont="1" applyFill="1" applyBorder="1" applyAlignment="1">
      <alignment horizontal="center"/>
    </xf>
    <xf numFmtId="164" fontId="0" fillId="0" borderId="0" xfId="0" applyNumberFormat="1" applyFont="1" applyFill="1" applyAlignment="1">
      <alignment/>
    </xf>
    <xf numFmtId="0" fontId="0" fillId="0" borderId="0" xfId="0" applyFont="1" applyAlignment="1">
      <alignment/>
    </xf>
    <xf numFmtId="0" fontId="6" fillId="36" borderId="0" xfId="0" applyFont="1" applyFill="1" applyBorder="1" applyAlignment="1">
      <alignment horizontal="right" vertical="center"/>
    </xf>
    <xf numFmtId="1" fontId="6" fillId="36" borderId="12" xfId="0" applyNumberFormat="1" applyFont="1" applyFill="1" applyBorder="1" applyAlignment="1" applyProtection="1">
      <alignment horizontal="center"/>
      <protection hidden="1"/>
    </xf>
    <xf numFmtId="174" fontId="0" fillId="0" borderId="0" xfId="0" applyNumberForma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ill="1" applyAlignment="1">
      <alignment horizontal="center" vertical="center"/>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xf>
    <xf numFmtId="0" fontId="0" fillId="0" borderId="0" xfId="0" applyBorder="1" applyAlignment="1">
      <alignment horizontal="right"/>
    </xf>
    <xf numFmtId="0" fontId="0" fillId="0" borderId="30" xfId="0" applyBorder="1" applyAlignment="1">
      <alignment/>
    </xf>
    <xf numFmtId="0" fontId="0" fillId="0" borderId="31" xfId="0" applyBorder="1" applyAlignment="1">
      <alignment horizontal="right"/>
    </xf>
    <xf numFmtId="0" fontId="0" fillId="0" borderId="32" xfId="0" applyBorder="1" applyAlignment="1">
      <alignment horizontal="right"/>
    </xf>
    <xf numFmtId="0" fontId="1" fillId="0" borderId="33" xfId="0" applyFont="1" applyBorder="1" applyAlignment="1">
      <alignment horizontal="center"/>
    </xf>
    <xf numFmtId="0" fontId="1" fillId="0" borderId="34" xfId="0" applyFont="1" applyBorder="1" applyAlignment="1">
      <alignment horizontal="center"/>
    </xf>
    <xf numFmtId="1" fontId="1" fillId="0" borderId="34" xfId="0" applyNumberFormat="1" applyFont="1" applyBorder="1" applyAlignment="1">
      <alignment horizontal="center"/>
    </xf>
    <xf numFmtId="1" fontId="1" fillId="0" borderId="35" xfId="0" applyNumberFormat="1" applyFont="1" applyBorder="1" applyAlignment="1">
      <alignment horizontal="center"/>
    </xf>
    <xf numFmtId="0" fontId="1" fillId="35" borderId="0" xfId="0" applyFont="1" applyFill="1" applyAlignment="1" applyProtection="1">
      <alignment horizontal="center"/>
      <protection locked="0"/>
    </xf>
    <xf numFmtId="0" fontId="0" fillId="0" borderId="0" xfId="0" applyAlignment="1">
      <alignment horizontal="center"/>
    </xf>
    <xf numFmtId="1" fontId="0" fillId="0" borderId="0" xfId="0" applyNumberFormat="1" applyAlignment="1">
      <alignment/>
    </xf>
    <xf numFmtId="1" fontId="0" fillId="0" borderId="22" xfId="0" applyNumberFormat="1" applyBorder="1" applyAlignment="1">
      <alignment/>
    </xf>
    <xf numFmtId="0" fontId="1" fillId="0" borderId="36" xfId="0" applyFont="1" applyBorder="1" applyAlignment="1">
      <alignment horizontal="center" wrapText="1"/>
    </xf>
    <xf numFmtId="0" fontId="1" fillId="0" borderId="37" xfId="0" applyFont="1" applyBorder="1" applyAlignment="1">
      <alignment horizontal="center"/>
    </xf>
    <xf numFmtId="9" fontId="1" fillId="0" borderId="38" xfId="0" applyNumberFormat="1" applyFont="1" applyBorder="1" applyAlignment="1">
      <alignment horizontal="center"/>
    </xf>
    <xf numFmtId="0" fontId="1" fillId="0" borderId="39" xfId="0" applyFont="1" applyBorder="1" applyAlignment="1">
      <alignment horizontal="center"/>
    </xf>
    <xf numFmtId="1" fontId="1" fillId="0" borderId="38" xfId="0" applyNumberFormat="1" applyFont="1" applyBorder="1" applyAlignment="1">
      <alignment horizontal="center"/>
    </xf>
    <xf numFmtId="0" fontId="0" fillId="0" borderId="37" xfId="0" applyBorder="1" applyAlignment="1">
      <alignment horizontal="center"/>
    </xf>
    <xf numFmtId="0" fontId="1" fillId="0" borderId="37" xfId="0" applyFont="1" applyBorder="1" applyAlignment="1">
      <alignment/>
    </xf>
    <xf numFmtId="0" fontId="0" fillId="0" borderId="0" xfId="0" applyFont="1" applyAlignment="1">
      <alignment horizontal="right"/>
    </xf>
    <xf numFmtId="0" fontId="1" fillId="0" borderId="0" xfId="0" applyFont="1" applyAlignment="1">
      <alignment horizontal="center"/>
    </xf>
    <xf numFmtId="0" fontId="8" fillId="0" borderId="0" xfId="0" applyFont="1" applyAlignment="1">
      <alignment/>
    </xf>
    <xf numFmtId="0" fontId="0" fillId="0" borderId="0" xfId="0" applyFont="1" applyAlignment="1">
      <alignment horizontal="right"/>
    </xf>
    <xf numFmtId="0" fontId="0" fillId="0" borderId="0" xfId="0" applyFont="1" applyAlignment="1">
      <alignment/>
    </xf>
    <xf numFmtId="164" fontId="6" fillId="0" borderId="0" xfId="0" applyNumberFormat="1" applyFont="1" applyFill="1" applyBorder="1" applyAlignment="1" applyProtection="1">
      <alignment horizontal="center"/>
      <protection hidden="1" locked="0"/>
    </xf>
    <xf numFmtId="174" fontId="3" fillId="0" borderId="0" xfId="0" applyNumberFormat="1" applyFont="1" applyAlignment="1">
      <alignment/>
    </xf>
    <xf numFmtId="9" fontId="3" fillId="0" borderId="0" xfId="0" applyNumberFormat="1" applyFont="1" applyAlignment="1">
      <alignment/>
    </xf>
    <xf numFmtId="0" fontId="1" fillId="33" borderId="11"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0" fillId="0" borderId="15" xfId="0" applyBorder="1" applyAlignment="1">
      <alignment wrapText="1"/>
    </xf>
    <xf numFmtId="0" fontId="0" fillId="0" borderId="0" xfId="0" applyBorder="1" applyAlignment="1">
      <alignment wrapText="1"/>
    </xf>
    <xf numFmtId="0" fontId="1" fillId="34" borderId="0" xfId="0" applyFont="1" applyFill="1" applyBorder="1" applyAlignment="1">
      <alignment horizontal="right" wrapText="1"/>
    </xf>
    <xf numFmtId="0" fontId="0" fillId="34" borderId="0" xfId="0" applyFont="1" applyFill="1" applyBorder="1" applyAlignment="1">
      <alignment wrapText="1"/>
    </xf>
    <xf numFmtId="0" fontId="9" fillId="34" borderId="0" xfId="0" applyFont="1" applyFill="1" applyAlignment="1">
      <alignment horizontal="center" vertical="center" wrapText="1"/>
    </xf>
    <xf numFmtId="0" fontId="1" fillId="34" borderId="0" xfId="0" applyFont="1" applyFill="1"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1" fillId="34" borderId="15" xfId="0" applyFont="1" applyFill="1" applyBorder="1" applyAlignment="1">
      <alignment horizontal="center" wrapText="1"/>
    </xf>
    <xf numFmtId="0" fontId="1" fillId="34" borderId="10" xfId="0" applyFont="1" applyFill="1" applyBorder="1" applyAlignment="1">
      <alignment horizontal="center" wrapText="1"/>
    </xf>
    <xf numFmtId="0" fontId="1" fillId="34" borderId="40" xfId="0" applyFont="1" applyFill="1" applyBorder="1" applyAlignment="1">
      <alignment horizontal="center" vertical="center" wrapText="1"/>
    </xf>
    <xf numFmtId="0" fontId="1" fillId="34" borderId="41" xfId="0" applyFont="1" applyFill="1" applyBorder="1" applyAlignment="1">
      <alignment horizontal="center" vertical="center" wrapText="1"/>
    </xf>
    <xf numFmtId="0" fontId="1" fillId="34" borderId="42"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9" fontId="1" fillId="33" borderId="0" xfId="0" applyNumberFormat="1" applyFont="1" applyFill="1" applyAlignment="1" applyProtection="1">
      <alignment horizontal="center" vertical="center" wrapText="1"/>
      <protection hidden="1"/>
    </xf>
    <xf numFmtId="0" fontId="8" fillId="34" borderId="46" xfId="0" applyFont="1" applyFill="1" applyBorder="1" applyAlignment="1">
      <alignment vertical="center" wrapText="1"/>
    </xf>
    <xf numFmtId="0" fontId="8" fillId="34" borderId="47" xfId="0" applyFont="1" applyFill="1" applyBorder="1" applyAlignment="1">
      <alignment vertical="center" wrapText="1"/>
    </xf>
    <xf numFmtId="0" fontId="8" fillId="34" borderId="48" xfId="0" applyFont="1" applyFill="1" applyBorder="1" applyAlignment="1">
      <alignment vertical="center" wrapText="1"/>
    </xf>
    <xf numFmtId="0" fontId="8" fillId="34" borderId="49" xfId="0" applyFont="1" applyFill="1" applyBorder="1" applyAlignment="1">
      <alignment vertical="center" wrapText="1"/>
    </xf>
    <xf numFmtId="0" fontId="8" fillId="34" borderId="0" xfId="0" applyFont="1" applyFill="1" applyBorder="1" applyAlignment="1">
      <alignment vertical="center" wrapText="1"/>
    </xf>
    <xf numFmtId="0" fontId="8" fillId="34" borderId="50" xfId="0" applyFont="1" applyFill="1" applyBorder="1" applyAlignment="1">
      <alignment vertical="center" wrapText="1"/>
    </xf>
    <xf numFmtId="0" fontId="8" fillId="0" borderId="49" xfId="0" applyFont="1" applyBorder="1" applyAlignment="1">
      <alignment wrapText="1"/>
    </xf>
    <xf numFmtId="0" fontId="8" fillId="0" borderId="0" xfId="0" applyFont="1" applyBorder="1" applyAlignment="1">
      <alignment wrapText="1"/>
    </xf>
    <xf numFmtId="0" fontId="8" fillId="0" borderId="50" xfId="0" applyFont="1" applyBorder="1" applyAlignment="1">
      <alignment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1" fillId="0" borderId="54" xfId="0" applyFont="1" applyBorder="1" applyAlignment="1">
      <alignment horizontal="center" wrapText="1"/>
    </xf>
    <xf numFmtId="0" fontId="1" fillId="0" borderId="55" xfId="0" applyFont="1" applyBorder="1" applyAlignment="1">
      <alignment horizontal="center" wrapText="1"/>
    </xf>
    <xf numFmtId="0" fontId="0" fillId="0" borderId="56" xfId="0" applyBorder="1" applyAlignment="1">
      <alignment horizontal="center" wrapText="1"/>
    </xf>
    <xf numFmtId="0" fontId="0" fillId="0" borderId="55" xfId="0" applyBorder="1" applyAlignment="1">
      <alignment wrapText="1"/>
    </xf>
    <xf numFmtId="0" fontId="1" fillId="34" borderId="0" xfId="0" applyFont="1" applyFill="1" applyAlignment="1">
      <alignment wrapText="1"/>
    </xf>
    <xf numFmtId="0" fontId="1" fillId="0" borderId="34" xfId="0" applyFont="1" applyBorder="1" applyAlignment="1">
      <alignment horizontal="center" wrapText="1"/>
    </xf>
    <xf numFmtId="0" fontId="0" fillId="0" borderId="34" xfId="0" applyBorder="1" applyAlignment="1">
      <alignment horizontal="center" wrapText="1"/>
    </xf>
    <xf numFmtId="0" fontId="1" fillId="34" borderId="0" xfId="0" applyFont="1" applyFill="1" applyAlignment="1">
      <alignment horizontal="center" vertical="center" wrapText="1"/>
    </xf>
    <xf numFmtId="0" fontId="0" fillId="0" borderId="0" xfId="0" applyAlignment="1">
      <alignment horizontal="center" vertical="center" wrapText="1"/>
    </xf>
    <xf numFmtId="0" fontId="0" fillId="0" borderId="57" xfId="0" applyBorder="1" applyAlignment="1">
      <alignment horizontal="center" vertical="center" wrapText="1"/>
    </xf>
    <xf numFmtId="0" fontId="0" fillId="0" borderId="24" xfId="0" applyBorder="1" applyAlignment="1">
      <alignment horizontal="right" wrapText="1"/>
    </xf>
    <xf numFmtId="0" fontId="0" fillId="0" borderId="58" xfId="0" applyBorder="1" applyAlignment="1">
      <alignment wrapText="1"/>
    </xf>
    <xf numFmtId="0" fontId="0" fillId="0" borderId="58" xfId="0" applyBorder="1" applyAlignment="1">
      <alignment horizontal="right" wrapText="1"/>
    </xf>
    <xf numFmtId="0" fontId="1" fillId="34" borderId="59" xfId="0" applyFont="1" applyFill="1" applyBorder="1" applyAlignment="1">
      <alignment horizontal="center" wrapText="1"/>
    </xf>
    <xf numFmtId="0" fontId="0" fillId="0" borderId="60" xfId="0" applyBorder="1" applyAlignment="1">
      <alignment wrapText="1"/>
    </xf>
    <xf numFmtId="0" fontId="1" fillId="34" borderId="54" xfId="0" applyFont="1" applyFill="1" applyBorder="1" applyAlignment="1">
      <alignment horizontal="center" vertical="center" wrapText="1"/>
    </xf>
    <xf numFmtId="0" fontId="0" fillId="0" borderId="61" xfId="0" applyBorder="1" applyAlignment="1">
      <alignment vertical="center" wrapText="1"/>
    </xf>
    <xf numFmtId="0" fontId="1" fillId="34" borderId="0" xfId="0" applyFont="1" applyFill="1" applyBorder="1" applyAlignment="1">
      <alignment horizontal="center" vertical="center" wrapText="1"/>
    </xf>
    <xf numFmtId="0" fontId="1" fillId="34" borderId="0" xfId="0" applyFont="1" applyFill="1" applyAlignment="1">
      <alignment horizontal="center" vertical="center" wrapText="1"/>
    </xf>
    <xf numFmtId="0" fontId="1" fillId="34" borderId="0" xfId="0" applyFont="1" applyFill="1" applyAlignment="1">
      <alignment horizontal="center" wrapText="1"/>
    </xf>
    <xf numFmtId="0" fontId="0" fillId="34" borderId="0" xfId="0" applyFill="1" applyAlignment="1">
      <alignment wrapText="1"/>
    </xf>
    <xf numFmtId="0" fontId="1" fillId="0" borderId="0" xfId="0" applyFont="1" applyFill="1" applyAlignment="1">
      <alignment horizontal="right" wrapText="1"/>
    </xf>
    <xf numFmtId="0" fontId="1"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horizontal="center" wrapText="1"/>
    </xf>
    <xf numFmtId="0" fontId="7" fillId="34" borderId="0" xfId="0" applyFont="1" applyFill="1" applyAlignment="1">
      <alignment vertical="center" wrapText="1"/>
    </xf>
    <xf numFmtId="0" fontId="1" fillId="0" borderId="0" xfId="0" applyFont="1" applyAlignment="1">
      <alignment vertical="center" wrapText="1"/>
    </xf>
    <xf numFmtId="0" fontId="0" fillId="0" borderId="0" xfId="0" applyAlignment="1">
      <alignment wrapText="1"/>
    </xf>
    <xf numFmtId="0" fontId="0" fillId="34" borderId="0" xfId="0" applyFont="1" applyFill="1" applyAlignment="1">
      <alignment horizontal="center" wrapText="1"/>
    </xf>
    <xf numFmtId="0" fontId="0" fillId="34" borderId="0" xfId="0" applyFont="1" applyFill="1" applyAlignment="1">
      <alignment wrapText="1"/>
    </xf>
    <xf numFmtId="0" fontId="1" fillId="34" borderId="57" xfId="0" applyFont="1" applyFill="1" applyBorder="1" applyAlignment="1">
      <alignment horizontal="center" wrapText="1"/>
    </xf>
    <xf numFmtId="0" fontId="0" fillId="34" borderId="0" xfId="0" applyFont="1" applyFill="1" applyAlignment="1">
      <alignment horizontal="center" wrapText="1"/>
    </xf>
    <xf numFmtId="0" fontId="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auto="1"/>
      </font>
      <fill>
        <patternFill patternType="solid">
          <bgColor indexed="13"/>
        </patternFill>
      </fill>
    </dxf>
    <dxf>
      <font>
        <b/>
        <i val="0"/>
        <color auto="1"/>
      </font>
      <fill>
        <patternFill patternType="solid">
          <bgColor indexed="42"/>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02775"/>
          <c:w val="0.85575"/>
          <c:h val="0.9005"/>
        </c:manualLayout>
      </c:layout>
      <c:scatterChart>
        <c:scatterStyle val="smoothMarker"/>
        <c:varyColors val="0"/>
        <c:ser>
          <c:idx val="0"/>
          <c:order val="0"/>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powercurve!$N$2:$N$52</c:f>
              <c:numCache/>
            </c:numRef>
          </c:xVal>
          <c:yVal>
            <c:numRef>
              <c:f>powercurve!$AD$2:$AD$52</c:f>
              <c:numCache/>
            </c:numRef>
          </c:yVal>
          <c:smooth val="1"/>
        </c:ser>
        <c:axId val="48596165"/>
        <c:axId val="34712302"/>
      </c:scatterChart>
      <c:valAx>
        <c:axId val="48596165"/>
        <c:scaling>
          <c:orientation val="minMax"/>
          <c:max val="10"/>
          <c:min val="4"/>
        </c:scaling>
        <c:axPos val="b"/>
        <c:title>
          <c:tx>
            <c:rich>
              <a:bodyPr vert="horz" rot="0" anchor="ctr"/>
              <a:lstStyle/>
              <a:p>
                <a:pPr algn="ctr">
                  <a:defRPr/>
                </a:pPr>
                <a:r>
                  <a:rPr lang="en-US" cap="none" sz="1025" b="1" i="0" u="none" baseline="0">
                    <a:solidFill>
                      <a:srgbClr val="000000"/>
                    </a:solidFill>
                    <a:latin typeface="Arial"/>
                    <a:ea typeface="Arial"/>
                    <a:cs typeface="Arial"/>
                  </a:rPr>
                  <a:t>Alternate Mean</a:t>
                </a:r>
              </a:p>
            </c:rich>
          </c:tx>
          <c:layout>
            <c:manualLayout>
              <c:xMode val="factor"/>
              <c:yMode val="factor"/>
              <c:x val="0"/>
              <c:y val="-0.00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4712302"/>
        <c:crosses val="autoZero"/>
        <c:crossBetween val="midCat"/>
        <c:dispUnits/>
      </c:valAx>
      <c:valAx>
        <c:axId val="34712302"/>
        <c:scaling>
          <c:orientation val="minMax"/>
          <c:max val="1"/>
        </c:scaling>
        <c:axPos val="l"/>
        <c:title>
          <c:tx>
            <c:rich>
              <a:bodyPr vert="horz" rot="0" anchor="ctr"/>
              <a:lstStyle/>
              <a:p>
                <a:pPr algn="ctr">
                  <a:defRPr/>
                </a:pPr>
                <a:r>
                  <a:rPr lang="en-US" cap="none" sz="1025" b="1" i="0" u="none" baseline="0">
                    <a:solidFill>
                      <a:srgbClr val="000000"/>
                    </a:solidFill>
                    <a:latin typeface="Arial"/>
                    <a:ea typeface="Arial"/>
                    <a:cs typeface="Arial"/>
                  </a:rPr>
                  <a:t>Percent
Power</a:t>
                </a:r>
              </a:p>
            </c:rich>
          </c:tx>
          <c:layout>
            <c:manualLayout>
              <c:xMode val="factor"/>
              <c:yMode val="factor"/>
              <c:x val="-0.002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859616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75"/>
          <c:w val="0.95275"/>
          <c:h val="0.944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'variation-mean'!$B$4:$B$103</c:f>
              <c:numCache/>
            </c:numRef>
          </c:xVal>
          <c:yVal>
            <c:numRef>
              <c:f>'variation-mean'!$R$4:$R$103</c:f>
              <c:numCache/>
            </c:numRef>
          </c:yVal>
          <c:smooth val="0"/>
        </c:ser>
        <c:axId val="43975263"/>
        <c:axId val="60233048"/>
      </c:scatterChart>
      <c:valAx>
        <c:axId val="43975263"/>
        <c:scaling>
          <c:orientation val="minMax"/>
          <c:max val="12"/>
          <c:min val="0"/>
        </c:scaling>
        <c:axPos val="b"/>
        <c:delete val="0"/>
        <c:numFmt formatCode="General" sourceLinked="1"/>
        <c:majorTickMark val="out"/>
        <c:minorTickMark val="none"/>
        <c:tickLblPos val="nextTo"/>
        <c:spPr>
          <a:ln w="3175">
            <a:solidFill>
              <a:srgbClr val="000000"/>
            </a:solidFill>
          </a:ln>
        </c:spPr>
        <c:crossAx val="60233048"/>
        <c:crosses val="autoZero"/>
        <c:crossBetween val="midCat"/>
        <c:dispUnits/>
      </c:valAx>
      <c:valAx>
        <c:axId val="60233048"/>
        <c:scaling>
          <c:orientation val="minMax"/>
          <c:max val="125"/>
          <c:min val="0"/>
        </c:scaling>
        <c:axPos val="l"/>
        <c:delete val="0"/>
        <c:numFmt formatCode="General" sourceLinked="1"/>
        <c:majorTickMark val="out"/>
        <c:minorTickMark val="none"/>
        <c:tickLblPos val="nextTo"/>
        <c:spPr>
          <a:ln w="3175">
            <a:solidFill>
              <a:srgbClr val="000000"/>
            </a:solidFill>
          </a:ln>
        </c:spPr>
        <c:crossAx val="4397526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05"/>
          <c:w val="0.97275"/>
          <c:h val="0.93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'variation-mean'!$B$4:$B$103</c:f>
              <c:numCache/>
            </c:numRef>
          </c:xVal>
          <c:yVal>
            <c:numRef>
              <c:f>'variation-mean'!$Q$4:$Q$103</c:f>
              <c:numCache/>
            </c:numRef>
          </c:yVal>
          <c:smooth val="0"/>
        </c:ser>
        <c:axId val="5226521"/>
        <c:axId val="47038690"/>
      </c:scatterChart>
      <c:valAx>
        <c:axId val="5226521"/>
        <c:scaling>
          <c:orientation val="minMax"/>
          <c:max val="12"/>
          <c:min val="0"/>
        </c:scaling>
        <c:axPos val="b"/>
        <c:delete val="0"/>
        <c:numFmt formatCode="General" sourceLinked="1"/>
        <c:majorTickMark val="out"/>
        <c:minorTickMark val="none"/>
        <c:tickLblPos val="nextTo"/>
        <c:spPr>
          <a:ln w="3175">
            <a:solidFill>
              <a:srgbClr val="000000"/>
            </a:solidFill>
          </a:ln>
        </c:spPr>
        <c:crossAx val="47038690"/>
        <c:crosses val="autoZero"/>
        <c:crossBetween val="midCat"/>
        <c:dispUnits/>
      </c:valAx>
      <c:valAx>
        <c:axId val="47038690"/>
        <c:scaling>
          <c:orientation val="minMax"/>
          <c:max val="12"/>
          <c:min val="0"/>
        </c:scaling>
        <c:axPos val="l"/>
        <c:delete val="0"/>
        <c:numFmt formatCode="General" sourceLinked="1"/>
        <c:majorTickMark val="out"/>
        <c:minorTickMark val="none"/>
        <c:tickLblPos val="nextTo"/>
        <c:spPr>
          <a:ln w="3175">
            <a:solidFill>
              <a:srgbClr val="000000"/>
            </a:solidFill>
          </a:ln>
        </c:spPr>
        <c:crossAx val="522652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3775"/>
          <c:w val="0.96"/>
          <c:h val="0.923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correlation!$R$4:$R$43</c:f>
              <c:numCache/>
            </c:numRef>
          </c:xVal>
          <c:yVal>
            <c:numRef>
              <c:f>correlation!$T$4:$T$43</c:f>
              <c:numCache/>
            </c:numRef>
          </c:yVal>
          <c:smooth val="0"/>
        </c:ser>
        <c:ser>
          <c:idx val="3"/>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Pt>
            <c:idx val="1"/>
            <c:spPr>
              <a:ln w="38100">
                <a:solidFill>
                  <a:srgbClr val="FF0000"/>
                </a:solidFill>
              </a:ln>
            </c:spPr>
            <c:marker>
              <c:symbol val="none"/>
            </c:marker>
          </c:dPt>
          <c:xVal>
            <c:numRef>
              <c:f>correlation!$W$6:$X$6</c:f>
              <c:numCache/>
            </c:numRef>
          </c:xVal>
          <c:yVal>
            <c:numRef>
              <c:f>correlation!$W$8:$X$8</c:f>
              <c:numCache/>
            </c:numRef>
          </c:yVal>
          <c:smooth val="0"/>
        </c:ser>
        <c:axId val="20695027"/>
        <c:axId val="52037516"/>
      </c:scatterChart>
      <c:valAx>
        <c:axId val="20695027"/>
        <c:scaling>
          <c:orientation val="minMax"/>
          <c:max val="16"/>
          <c:min val="4"/>
        </c:scaling>
        <c:axPos val="b"/>
        <c:delete val="0"/>
        <c:numFmt formatCode="General" sourceLinked="1"/>
        <c:majorTickMark val="out"/>
        <c:minorTickMark val="none"/>
        <c:tickLblPos val="nextTo"/>
        <c:spPr>
          <a:ln w="3175">
            <a:solidFill>
              <a:srgbClr val="000000"/>
            </a:solidFill>
          </a:ln>
        </c:spPr>
        <c:crossAx val="52037516"/>
        <c:crosses val="autoZero"/>
        <c:crossBetween val="midCat"/>
        <c:dispUnits/>
      </c:valAx>
      <c:valAx>
        <c:axId val="52037516"/>
        <c:scaling>
          <c:orientation val="minMax"/>
          <c:max val="16"/>
          <c:min val="4"/>
        </c:scaling>
        <c:axPos val="l"/>
        <c:delete val="0"/>
        <c:numFmt formatCode="General" sourceLinked="1"/>
        <c:majorTickMark val="out"/>
        <c:minorTickMark val="none"/>
        <c:tickLblPos val="nextTo"/>
        <c:spPr>
          <a:ln w="3175">
            <a:solidFill>
              <a:srgbClr val="000000"/>
            </a:solidFill>
          </a:ln>
        </c:spPr>
        <c:crossAx val="20695027"/>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3825"/>
          <c:w val="0.956"/>
          <c:h val="0.9367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graphs!$V$3:$V$202</c:f>
              <c:numCache/>
            </c:numRef>
          </c:xVal>
          <c:yVal>
            <c:numRef>
              <c:f>graphs!$W$3:$W$202</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graphs!$V$3:$V$202</c:f>
              <c:numCache/>
            </c:numRef>
          </c:xVal>
          <c:yVal>
            <c:numRef>
              <c:f>graphs!$X$3:$X$202</c:f>
              <c:numCache/>
            </c:numRef>
          </c:yVal>
          <c:smooth val="1"/>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graphs!$T$17:$T$18</c:f>
              <c:numCache/>
            </c:numRef>
          </c:xVal>
          <c:yVal>
            <c:numRef>
              <c:f>graphs!$U$17:$U$18</c:f>
              <c:numCache/>
            </c:numRef>
          </c:yVal>
          <c:smooth val="1"/>
        </c:ser>
        <c:axId val="65684461"/>
        <c:axId val="54289238"/>
      </c:scatterChart>
      <c:valAx>
        <c:axId val="65684461"/>
        <c:scaling>
          <c:orientation val="minMax"/>
        </c:scaling>
        <c:axPos val="b"/>
        <c:delete val="0"/>
        <c:numFmt formatCode="0.0" sourceLinked="0"/>
        <c:majorTickMark val="out"/>
        <c:minorTickMark val="none"/>
        <c:tickLblPos val="nextTo"/>
        <c:spPr>
          <a:ln w="3175">
            <a:solidFill>
              <a:srgbClr val="000000"/>
            </a:solidFill>
          </a:ln>
        </c:spPr>
        <c:crossAx val="54289238"/>
        <c:crosses val="autoZero"/>
        <c:crossBetween val="midCat"/>
        <c:dispUnits/>
      </c:valAx>
      <c:valAx>
        <c:axId val="54289238"/>
        <c:scaling>
          <c:orientation val="minMax"/>
        </c:scaling>
        <c:axPos val="l"/>
        <c:delete val="1"/>
        <c:majorTickMark val="out"/>
        <c:minorTickMark val="none"/>
        <c:tickLblPos val="none"/>
        <c:crossAx val="65684461"/>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435"/>
          <c:w val="0.958"/>
          <c:h val="0.897"/>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graphs!$Q$3:$Q$202</c:f>
              <c:numCache/>
            </c:numRef>
          </c:xVal>
          <c:yVal>
            <c:numRef>
              <c:f>graphs!$R$3:$R$202</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graphs!$Q$3:$Q$202</c:f>
              <c:numCache/>
            </c:numRef>
          </c:xVal>
          <c:yVal>
            <c:numRef>
              <c:f>graphs!$S$3:$S$202</c:f>
              <c:numCache/>
            </c:numRef>
          </c:yVal>
          <c:smooth val="1"/>
        </c:ser>
        <c:ser>
          <c:idx val="2"/>
          <c:order val="2"/>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graphs!$O$17:$O$18</c:f>
              <c:numCache/>
            </c:numRef>
          </c:xVal>
          <c:yVal>
            <c:numRef>
              <c:f>graphs!$P$17:$P$18</c:f>
              <c:numCache/>
            </c:numRef>
          </c:yVal>
          <c:smooth val="1"/>
        </c:ser>
        <c:axId val="18841095"/>
        <c:axId val="35352128"/>
      </c:scatterChart>
      <c:valAx>
        <c:axId val="18841095"/>
        <c:scaling>
          <c:orientation val="minMax"/>
        </c:scaling>
        <c:axPos val="b"/>
        <c:delete val="0"/>
        <c:numFmt formatCode="0.0" sourceLinked="0"/>
        <c:majorTickMark val="out"/>
        <c:minorTickMark val="none"/>
        <c:tickLblPos val="nextTo"/>
        <c:spPr>
          <a:ln w="3175">
            <a:solidFill>
              <a:srgbClr val="000000"/>
            </a:solidFill>
          </a:ln>
        </c:spPr>
        <c:crossAx val="35352128"/>
        <c:crosses val="autoZero"/>
        <c:crossBetween val="midCat"/>
        <c:dispUnits/>
      </c:valAx>
      <c:valAx>
        <c:axId val="35352128"/>
        <c:scaling>
          <c:orientation val="minMax"/>
        </c:scaling>
        <c:axPos val="l"/>
        <c:delete val="1"/>
        <c:majorTickMark val="out"/>
        <c:minorTickMark val="none"/>
        <c:tickLblPos val="none"/>
        <c:crossAx val="18841095"/>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45.emf" /><Relationship Id="rId3" Type="http://schemas.openxmlformats.org/officeDocument/2006/relationships/image" Target="../media/image16.emf" /><Relationship Id="rId4" Type="http://schemas.openxmlformats.org/officeDocument/2006/relationships/image" Target="../media/image5.emf" /><Relationship Id="rId5" Type="http://schemas.openxmlformats.org/officeDocument/2006/relationships/image" Target="../media/image42.emf" /><Relationship Id="rId6" Type="http://schemas.openxmlformats.org/officeDocument/2006/relationships/image" Target="../media/image28.emf" /><Relationship Id="rId7" Type="http://schemas.openxmlformats.org/officeDocument/2006/relationships/image" Target="../media/image10.emf" /><Relationship Id="rId8" Type="http://schemas.openxmlformats.org/officeDocument/2006/relationships/image" Target="../media/image25.emf" /><Relationship Id="rId9" Type="http://schemas.openxmlformats.org/officeDocument/2006/relationships/image" Target="../media/image43.emf" /><Relationship Id="rId10" Type="http://schemas.openxmlformats.org/officeDocument/2006/relationships/image" Target="../media/image21.emf" /><Relationship Id="rId11" Type="http://schemas.openxmlformats.org/officeDocument/2006/relationships/image" Target="../media/image29.emf" /><Relationship Id="rId12" Type="http://schemas.openxmlformats.org/officeDocument/2006/relationships/image" Target="../media/image33.emf" /><Relationship Id="rId13" Type="http://schemas.openxmlformats.org/officeDocument/2006/relationships/image" Target="../media/image27.emf" /><Relationship Id="rId14" Type="http://schemas.openxmlformats.org/officeDocument/2006/relationships/image" Target="../media/image39.emf" /><Relationship Id="rId15" Type="http://schemas.openxmlformats.org/officeDocument/2006/relationships/image" Target="../media/image35.emf" /><Relationship Id="rId16" Type="http://schemas.openxmlformats.org/officeDocument/2006/relationships/image" Target="../media/image40.emf" /><Relationship Id="rId17" Type="http://schemas.openxmlformats.org/officeDocument/2006/relationships/image" Target="../media/image38.emf" /><Relationship Id="rId18" Type="http://schemas.openxmlformats.org/officeDocument/2006/relationships/image" Target="../media/image19.emf" /><Relationship Id="rId19" Type="http://schemas.openxmlformats.org/officeDocument/2006/relationships/image" Target="../media/image9.emf" /><Relationship Id="rId20" Type="http://schemas.openxmlformats.org/officeDocument/2006/relationships/image" Target="../media/image41.emf" /><Relationship Id="rId21" Type="http://schemas.openxmlformats.org/officeDocument/2006/relationships/image" Target="../media/image3.emf" /><Relationship Id="rId22" Type="http://schemas.openxmlformats.org/officeDocument/2006/relationships/image" Target="../media/image17.emf" /><Relationship Id="rId23" Type="http://schemas.openxmlformats.org/officeDocument/2006/relationships/image" Target="../media/image14.emf" /><Relationship Id="rId24" Type="http://schemas.openxmlformats.org/officeDocument/2006/relationships/image" Target="../media/image3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8.emf" /><Relationship Id="rId3" Type="http://schemas.openxmlformats.org/officeDocument/2006/relationships/image" Target="../media/image4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7.emf" /><Relationship Id="rId3" Type="http://schemas.openxmlformats.org/officeDocument/2006/relationships/image" Target="../media/image3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emf" /><Relationship Id="rId4" Type="http://schemas.openxmlformats.org/officeDocument/2006/relationships/image" Target="../media/image8.emf" /><Relationship Id="rId5" Type="http://schemas.openxmlformats.org/officeDocument/2006/relationships/image" Target="../media/image22.emf" /><Relationship Id="rId6" Type="http://schemas.openxmlformats.org/officeDocument/2006/relationships/image" Target="../media/image36.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26.emf" /><Relationship Id="rId10" Type="http://schemas.openxmlformats.org/officeDocument/2006/relationships/image" Target="../media/image31.emf" /><Relationship Id="rId1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24.emf" /><Relationship Id="rId3" Type="http://schemas.openxmlformats.org/officeDocument/2006/relationships/image" Target="../media/image20.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1.emf" /><Relationship Id="rId4"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3.emf" /></Relationships>
</file>

<file path=xl/drawings/_rels/drawing8.xml.rels><?xml version="1.0" encoding="utf-8" standalone="yes"?><Relationships xmlns="http://schemas.openxmlformats.org/package/2006/relationships"><Relationship Id="rId1" Type="http://schemas.openxmlformats.org/officeDocument/2006/relationships/image" Target="../media/image46.png"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1019175</xdr:colOff>
      <xdr:row>1</xdr:row>
      <xdr:rowOff>0</xdr:rowOff>
    </xdr:from>
    <xdr:to>
      <xdr:col>3</xdr:col>
      <xdr:colOff>180975</xdr:colOff>
      <xdr:row>1</xdr:row>
      <xdr:rowOff>180975</xdr:rowOff>
    </xdr:to>
    <xdr:pic>
      <xdr:nvPicPr>
        <xdr:cNvPr id="1" name="ScrollBar1"/>
        <xdr:cNvPicPr preferRelativeResize="1">
          <a:picLocks noChangeAspect="1"/>
        </xdr:cNvPicPr>
      </xdr:nvPicPr>
      <xdr:blipFill>
        <a:blip r:embed="rId1"/>
        <a:stretch>
          <a:fillRect/>
        </a:stretch>
      </xdr:blipFill>
      <xdr:spPr>
        <a:xfrm>
          <a:off x="1133475" y="190500"/>
          <a:ext cx="952500" cy="180975"/>
        </a:xfrm>
        <a:prstGeom prst="rect">
          <a:avLst/>
        </a:prstGeom>
        <a:noFill/>
        <a:ln w="9525" cmpd="sng">
          <a:noFill/>
        </a:ln>
      </xdr:spPr>
    </xdr:pic>
    <xdr:clientData/>
  </xdr:twoCellAnchor>
  <xdr:twoCellAnchor editAs="oneCell">
    <xdr:from>
      <xdr:col>10</xdr:col>
      <xdr:colOff>390525</xdr:colOff>
      <xdr:row>23</xdr:row>
      <xdr:rowOff>28575</xdr:rowOff>
    </xdr:from>
    <xdr:to>
      <xdr:col>11</xdr:col>
      <xdr:colOff>561975</xdr:colOff>
      <xdr:row>24</xdr:row>
      <xdr:rowOff>104775</xdr:rowOff>
    </xdr:to>
    <xdr:pic>
      <xdr:nvPicPr>
        <xdr:cNvPr id="2" name="ScrollBar2"/>
        <xdr:cNvPicPr preferRelativeResize="1">
          <a:picLocks noChangeAspect="1"/>
        </xdr:cNvPicPr>
      </xdr:nvPicPr>
      <xdr:blipFill>
        <a:blip r:embed="rId2"/>
        <a:stretch>
          <a:fillRect/>
        </a:stretch>
      </xdr:blipFill>
      <xdr:spPr>
        <a:xfrm>
          <a:off x="5562600" y="3914775"/>
          <a:ext cx="1152525" cy="238125"/>
        </a:xfrm>
        <a:prstGeom prst="rect">
          <a:avLst/>
        </a:prstGeom>
        <a:noFill/>
        <a:ln w="9525" cmpd="sng">
          <a:noFill/>
        </a:ln>
      </xdr:spPr>
    </xdr:pic>
    <xdr:clientData/>
  </xdr:twoCellAnchor>
  <xdr:twoCellAnchor editAs="oneCell">
    <xdr:from>
      <xdr:col>1</xdr:col>
      <xdr:colOff>866775</xdr:colOff>
      <xdr:row>8</xdr:row>
      <xdr:rowOff>133350</xdr:rowOff>
    </xdr:from>
    <xdr:to>
      <xdr:col>3</xdr:col>
      <xdr:colOff>247650</xdr:colOff>
      <xdr:row>10</xdr:row>
      <xdr:rowOff>38100</xdr:rowOff>
    </xdr:to>
    <xdr:pic>
      <xdr:nvPicPr>
        <xdr:cNvPr id="3" name="ToggleButton1"/>
        <xdr:cNvPicPr preferRelativeResize="1">
          <a:picLocks noChangeAspect="1"/>
        </xdr:cNvPicPr>
      </xdr:nvPicPr>
      <xdr:blipFill>
        <a:blip r:embed="rId3"/>
        <a:stretch>
          <a:fillRect/>
        </a:stretch>
      </xdr:blipFill>
      <xdr:spPr>
        <a:xfrm>
          <a:off x="981075" y="1514475"/>
          <a:ext cx="1171575" cy="247650"/>
        </a:xfrm>
        <a:prstGeom prst="rect">
          <a:avLst/>
        </a:prstGeom>
        <a:noFill/>
        <a:ln w="9525" cmpd="sng">
          <a:noFill/>
        </a:ln>
      </xdr:spPr>
    </xdr:pic>
    <xdr:clientData/>
  </xdr:twoCellAnchor>
  <xdr:twoCellAnchor editAs="oneCell">
    <xdr:from>
      <xdr:col>1</xdr:col>
      <xdr:colOff>942975</xdr:colOff>
      <xdr:row>14</xdr:row>
      <xdr:rowOff>104775</xdr:rowOff>
    </xdr:from>
    <xdr:to>
      <xdr:col>3</xdr:col>
      <xdr:colOff>238125</xdr:colOff>
      <xdr:row>16</xdr:row>
      <xdr:rowOff>0</xdr:rowOff>
    </xdr:to>
    <xdr:pic>
      <xdr:nvPicPr>
        <xdr:cNvPr id="4" name="ScrollBar3"/>
        <xdr:cNvPicPr preferRelativeResize="1">
          <a:picLocks noChangeAspect="1"/>
        </xdr:cNvPicPr>
      </xdr:nvPicPr>
      <xdr:blipFill>
        <a:blip r:embed="rId4"/>
        <a:stretch>
          <a:fillRect/>
        </a:stretch>
      </xdr:blipFill>
      <xdr:spPr>
        <a:xfrm>
          <a:off x="1057275" y="2514600"/>
          <a:ext cx="1085850" cy="238125"/>
        </a:xfrm>
        <a:prstGeom prst="rect">
          <a:avLst/>
        </a:prstGeom>
        <a:noFill/>
        <a:ln w="9525" cmpd="sng">
          <a:noFill/>
        </a:ln>
      </xdr:spPr>
    </xdr:pic>
    <xdr:clientData/>
  </xdr:twoCellAnchor>
  <xdr:twoCellAnchor editAs="oneCell">
    <xdr:from>
      <xdr:col>6</xdr:col>
      <xdr:colOff>371475</xdr:colOff>
      <xdr:row>20</xdr:row>
      <xdr:rowOff>19050</xdr:rowOff>
    </xdr:from>
    <xdr:to>
      <xdr:col>8</xdr:col>
      <xdr:colOff>390525</xdr:colOff>
      <xdr:row>21</xdr:row>
      <xdr:rowOff>38100</xdr:rowOff>
    </xdr:to>
    <xdr:pic>
      <xdr:nvPicPr>
        <xdr:cNvPr id="5" name="ScrollBar4"/>
        <xdr:cNvPicPr preferRelativeResize="1">
          <a:picLocks noChangeAspect="1"/>
        </xdr:cNvPicPr>
      </xdr:nvPicPr>
      <xdr:blipFill>
        <a:blip r:embed="rId5"/>
        <a:stretch>
          <a:fillRect/>
        </a:stretch>
      </xdr:blipFill>
      <xdr:spPr>
        <a:xfrm>
          <a:off x="4019550" y="3419475"/>
          <a:ext cx="914400" cy="180975"/>
        </a:xfrm>
        <a:prstGeom prst="rect">
          <a:avLst/>
        </a:prstGeom>
        <a:noFill/>
        <a:ln w="9525" cmpd="sng">
          <a:noFill/>
        </a:ln>
      </xdr:spPr>
    </xdr:pic>
    <xdr:clientData/>
  </xdr:twoCellAnchor>
  <xdr:twoCellAnchor editAs="oneCell">
    <xdr:from>
      <xdr:col>1</xdr:col>
      <xdr:colOff>914400</xdr:colOff>
      <xdr:row>3</xdr:row>
      <xdr:rowOff>123825</xdr:rowOff>
    </xdr:from>
    <xdr:to>
      <xdr:col>3</xdr:col>
      <xdr:colOff>161925</xdr:colOff>
      <xdr:row>5</xdr:row>
      <xdr:rowOff>38100</xdr:rowOff>
    </xdr:to>
    <xdr:pic>
      <xdr:nvPicPr>
        <xdr:cNvPr id="6" name="ToggleButton4"/>
        <xdr:cNvPicPr preferRelativeResize="1">
          <a:picLocks noChangeAspect="1"/>
        </xdr:cNvPicPr>
      </xdr:nvPicPr>
      <xdr:blipFill>
        <a:blip r:embed="rId6"/>
        <a:stretch>
          <a:fillRect/>
        </a:stretch>
      </xdr:blipFill>
      <xdr:spPr>
        <a:xfrm>
          <a:off x="1028700" y="676275"/>
          <a:ext cx="1038225" cy="247650"/>
        </a:xfrm>
        <a:prstGeom prst="rect">
          <a:avLst/>
        </a:prstGeom>
        <a:noFill/>
        <a:ln w="9525" cmpd="sng">
          <a:noFill/>
        </a:ln>
      </xdr:spPr>
    </xdr:pic>
    <xdr:clientData/>
  </xdr:twoCellAnchor>
  <xdr:twoCellAnchor editAs="oneCell">
    <xdr:from>
      <xdr:col>2</xdr:col>
      <xdr:colOff>200025</xdr:colOff>
      <xdr:row>23</xdr:row>
      <xdr:rowOff>19050</xdr:rowOff>
    </xdr:from>
    <xdr:to>
      <xdr:col>3</xdr:col>
      <xdr:colOff>85725</xdr:colOff>
      <xdr:row>25</xdr:row>
      <xdr:rowOff>19050</xdr:rowOff>
    </xdr:to>
    <xdr:pic>
      <xdr:nvPicPr>
        <xdr:cNvPr id="7" name="SpinButton1"/>
        <xdr:cNvPicPr preferRelativeResize="1">
          <a:picLocks noChangeAspect="1"/>
        </xdr:cNvPicPr>
      </xdr:nvPicPr>
      <xdr:blipFill>
        <a:blip r:embed="rId7"/>
        <a:stretch>
          <a:fillRect/>
        </a:stretch>
      </xdr:blipFill>
      <xdr:spPr>
        <a:xfrm>
          <a:off x="1457325" y="3905250"/>
          <a:ext cx="533400" cy="323850"/>
        </a:xfrm>
        <a:prstGeom prst="rect">
          <a:avLst/>
        </a:prstGeom>
        <a:noFill/>
        <a:ln w="9525" cmpd="sng">
          <a:noFill/>
        </a:ln>
      </xdr:spPr>
    </xdr:pic>
    <xdr:clientData/>
  </xdr:twoCellAnchor>
  <xdr:twoCellAnchor editAs="oneCell">
    <xdr:from>
      <xdr:col>1</xdr:col>
      <xdr:colOff>600075</xdr:colOff>
      <xdr:row>5</xdr:row>
      <xdr:rowOff>57150</xdr:rowOff>
    </xdr:from>
    <xdr:to>
      <xdr:col>2</xdr:col>
      <xdr:colOff>485775</xdr:colOff>
      <xdr:row>7</xdr:row>
      <xdr:rowOff>66675</xdr:rowOff>
    </xdr:to>
    <xdr:pic>
      <xdr:nvPicPr>
        <xdr:cNvPr id="8" name="CommandButton2"/>
        <xdr:cNvPicPr preferRelativeResize="1">
          <a:picLocks noChangeAspect="1"/>
        </xdr:cNvPicPr>
      </xdr:nvPicPr>
      <xdr:blipFill>
        <a:blip r:embed="rId8"/>
        <a:stretch>
          <a:fillRect/>
        </a:stretch>
      </xdr:blipFill>
      <xdr:spPr>
        <a:xfrm>
          <a:off x="714375" y="942975"/>
          <a:ext cx="1028700" cy="333375"/>
        </a:xfrm>
        <a:prstGeom prst="rect">
          <a:avLst/>
        </a:prstGeom>
        <a:noFill/>
        <a:ln w="9525" cmpd="sng">
          <a:noFill/>
        </a:ln>
      </xdr:spPr>
    </xdr:pic>
    <xdr:clientData/>
  </xdr:twoCellAnchor>
  <xdr:twoCellAnchor editAs="oneCell">
    <xdr:from>
      <xdr:col>1</xdr:col>
      <xdr:colOff>104775</xdr:colOff>
      <xdr:row>14</xdr:row>
      <xdr:rowOff>47625</xdr:rowOff>
    </xdr:from>
    <xdr:to>
      <xdr:col>1</xdr:col>
      <xdr:colOff>895350</xdr:colOff>
      <xdr:row>16</xdr:row>
      <xdr:rowOff>123825</xdr:rowOff>
    </xdr:to>
    <xdr:pic>
      <xdr:nvPicPr>
        <xdr:cNvPr id="9" name="CommandButton3"/>
        <xdr:cNvPicPr preferRelativeResize="1">
          <a:picLocks noChangeAspect="1"/>
        </xdr:cNvPicPr>
      </xdr:nvPicPr>
      <xdr:blipFill>
        <a:blip r:embed="rId9"/>
        <a:stretch>
          <a:fillRect/>
        </a:stretch>
      </xdr:blipFill>
      <xdr:spPr>
        <a:xfrm>
          <a:off x="219075" y="2457450"/>
          <a:ext cx="790575" cy="419100"/>
        </a:xfrm>
        <a:prstGeom prst="rect">
          <a:avLst/>
        </a:prstGeom>
        <a:noFill/>
        <a:ln w="9525" cmpd="sng">
          <a:noFill/>
        </a:ln>
      </xdr:spPr>
    </xdr:pic>
    <xdr:clientData/>
  </xdr:twoCellAnchor>
  <xdr:twoCellAnchor editAs="oneCell">
    <xdr:from>
      <xdr:col>5</xdr:col>
      <xdr:colOff>76200</xdr:colOff>
      <xdr:row>15</xdr:row>
      <xdr:rowOff>104775</xdr:rowOff>
    </xdr:from>
    <xdr:to>
      <xdr:col>5</xdr:col>
      <xdr:colOff>914400</xdr:colOff>
      <xdr:row>19</xdr:row>
      <xdr:rowOff>57150</xdr:rowOff>
    </xdr:to>
    <xdr:pic>
      <xdr:nvPicPr>
        <xdr:cNvPr id="10" name="CommandButton4"/>
        <xdr:cNvPicPr preferRelativeResize="1">
          <a:picLocks noChangeAspect="1"/>
        </xdr:cNvPicPr>
      </xdr:nvPicPr>
      <xdr:blipFill>
        <a:blip r:embed="rId10"/>
        <a:stretch>
          <a:fillRect/>
        </a:stretch>
      </xdr:blipFill>
      <xdr:spPr>
        <a:xfrm>
          <a:off x="2743200" y="2686050"/>
          <a:ext cx="838200" cy="609600"/>
        </a:xfrm>
        <a:prstGeom prst="rect">
          <a:avLst/>
        </a:prstGeom>
        <a:noFill/>
        <a:ln w="9525" cmpd="sng">
          <a:noFill/>
        </a:ln>
      </xdr:spPr>
    </xdr:pic>
    <xdr:clientData/>
  </xdr:twoCellAnchor>
  <xdr:twoCellAnchor editAs="oneCell">
    <xdr:from>
      <xdr:col>1</xdr:col>
      <xdr:colOff>95250</xdr:colOff>
      <xdr:row>17</xdr:row>
      <xdr:rowOff>66675</xdr:rowOff>
    </xdr:from>
    <xdr:to>
      <xdr:col>1</xdr:col>
      <xdr:colOff>1028700</xdr:colOff>
      <xdr:row>20</xdr:row>
      <xdr:rowOff>66675</xdr:rowOff>
    </xdr:to>
    <xdr:pic>
      <xdr:nvPicPr>
        <xdr:cNvPr id="11" name="CommandButton6"/>
        <xdr:cNvPicPr preferRelativeResize="1">
          <a:picLocks noChangeAspect="1"/>
        </xdr:cNvPicPr>
      </xdr:nvPicPr>
      <xdr:blipFill>
        <a:blip r:embed="rId11"/>
        <a:stretch>
          <a:fillRect/>
        </a:stretch>
      </xdr:blipFill>
      <xdr:spPr>
        <a:xfrm>
          <a:off x="209550" y="2981325"/>
          <a:ext cx="933450" cy="485775"/>
        </a:xfrm>
        <a:prstGeom prst="rect">
          <a:avLst/>
        </a:prstGeom>
        <a:noFill/>
        <a:ln w="9525" cmpd="sng">
          <a:noFill/>
        </a:ln>
      </xdr:spPr>
    </xdr:pic>
    <xdr:clientData/>
  </xdr:twoCellAnchor>
  <xdr:twoCellAnchor editAs="oneCell">
    <xdr:from>
      <xdr:col>9</xdr:col>
      <xdr:colOff>19050</xdr:colOff>
      <xdr:row>16</xdr:row>
      <xdr:rowOff>57150</xdr:rowOff>
    </xdr:from>
    <xdr:to>
      <xdr:col>10</xdr:col>
      <xdr:colOff>371475</xdr:colOff>
      <xdr:row>18</xdr:row>
      <xdr:rowOff>28575</xdr:rowOff>
    </xdr:to>
    <xdr:pic>
      <xdr:nvPicPr>
        <xdr:cNvPr id="12" name="SpinButton2"/>
        <xdr:cNvPicPr preferRelativeResize="1">
          <a:picLocks noChangeAspect="1"/>
        </xdr:cNvPicPr>
      </xdr:nvPicPr>
      <xdr:blipFill>
        <a:blip r:embed="rId12"/>
        <a:stretch>
          <a:fillRect/>
        </a:stretch>
      </xdr:blipFill>
      <xdr:spPr>
        <a:xfrm>
          <a:off x="5010150" y="2809875"/>
          <a:ext cx="533400" cy="295275"/>
        </a:xfrm>
        <a:prstGeom prst="rect">
          <a:avLst/>
        </a:prstGeom>
        <a:noFill/>
        <a:ln w="9525" cmpd="sng">
          <a:noFill/>
        </a:ln>
      </xdr:spPr>
    </xdr:pic>
    <xdr:clientData/>
  </xdr:twoCellAnchor>
  <xdr:twoCellAnchor editAs="oneCell">
    <xdr:from>
      <xdr:col>5</xdr:col>
      <xdr:colOff>447675</xdr:colOff>
      <xdr:row>23</xdr:row>
      <xdr:rowOff>9525</xdr:rowOff>
    </xdr:from>
    <xdr:to>
      <xdr:col>7</xdr:col>
      <xdr:colOff>104775</xdr:colOff>
      <xdr:row>24</xdr:row>
      <xdr:rowOff>85725</xdr:rowOff>
    </xdr:to>
    <xdr:pic>
      <xdr:nvPicPr>
        <xdr:cNvPr id="13" name="ScrollBar5"/>
        <xdr:cNvPicPr preferRelativeResize="1">
          <a:picLocks noChangeAspect="1"/>
        </xdr:cNvPicPr>
      </xdr:nvPicPr>
      <xdr:blipFill>
        <a:blip r:embed="rId13"/>
        <a:stretch>
          <a:fillRect/>
        </a:stretch>
      </xdr:blipFill>
      <xdr:spPr>
        <a:xfrm>
          <a:off x="3114675" y="3895725"/>
          <a:ext cx="1152525" cy="238125"/>
        </a:xfrm>
        <a:prstGeom prst="rect">
          <a:avLst/>
        </a:prstGeom>
        <a:noFill/>
        <a:ln w="9525" cmpd="sng">
          <a:noFill/>
        </a:ln>
      </xdr:spPr>
    </xdr:pic>
    <xdr:clientData/>
  </xdr:twoCellAnchor>
  <xdr:twoCellAnchor editAs="oneCell">
    <xdr:from>
      <xdr:col>5</xdr:col>
      <xdr:colOff>9525</xdr:colOff>
      <xdr:row>1</xdr:row>
      <xdr:rowOff>0</xdr:rowOff>
    </xdr:from>
    <xdr:to>
      <xdr:col>6</xdr:col>
      <xdr:colOff>114300</xdr:colOff>
      <xdr:row>3</xdr:row>
      <xdr:rowOff>9525</xdr:rowOff>
    </xdr:to>
    <xdr:pic>
      <xdr:nvPicPr>
        <xdr:cNvPr id="14" name="CommandButton5"/>
        <xdr:cNvPicPr preferRelativeResize="1">
          <a:picLocks noChangeAspect="1"/>
        </xdr:cNvPicPr>
      </xdr:nvPicPr>
      <xdr:blipFill>
        <a:blip r:embed="rId14"/>
        <a:stretch>
          <a:fillRect/>
        </a:stretch>
      </xdr:blipFill>
      <xdr:spPr>
        <a:xfrm>
          <a:off x="2676525" y="190500"/>
          <a:ext cx="1085850" cy="371475"/>
        </a:xfrm>
        <a:prstGeom prst="rect">
          <a:avLst/>
        </a:prstGeom>
        <a:noFill/>
        <a:ln w="9525" cmpd="sng">
          <a:noFill/>
        </a:ln>
      </xdr:spPr>
    </xdr:pic>
    <xdr:clientData/>
  </xdr:twoCellAnchor>
  <xdr:twoCellAnchor editAs="oneCell">
    <xdr:from>
      <xdr:col>10</xdr:col>
      <xdr:colOff>400050</xdr:colOff>
      <xdr:row>26</xdr:row>
      <xdr:rowOff>38100</xdr:rowOff>
    </xdr:from>
    <xdr:to>
      <xdr:col>11</xdr:col>
      <xdr:colOff>571500</xdr:colOff>
      <xdr:row>27</xdr:row>
      <xdr:rowOff>114300</xdr:rowOff>
    </xdr:to>
    <xdr:pic>
      <xdr:nvPicPr>
        <xdr:cNvPr id="15" name="ScrollBar6"/>
        <xdr:cNvPicPr preferRelativeResize="1">
          <a:picLocks noChangeAspect="1"/>
        </xdr:cNvPicPr>
      </xdr:nvPicPr>
      <xdr:blipFill>
        <a:blip r:embed="rId15"/>
        <a:stretch>
          <a:fillRect/>
        </a:stretch>
      </xdr:blipFill>
      <xdr:spPr>
        <a:xfrm>
          <a:off x="5572125" y="4410075"/>
          <a:ext cx="1152525" cy="238125"/>
        </a:xfrm>
        <a:prstGeom prst="rect">
          <a:avLst/>
        </a:prstGeom>
        <a:noFill/>
        <a:ln w="9525" cmpd="sng">
          <a:noFill/>
        </a:ln>
      </xdr:spPr>
    </xdr:pic>
    <xdr:clientData/>
  </xdr:twoCellAnchor>
  <xdr:twoCellAnchor editAs="oneCell">
    <xdr:from>
      <xdr:col>4</xdr:col>
      <xdr:colOff>257175</xdr:colOff>
      <xdr:row>12</xdr:row>
      <xdr:rowOff>161925</xdr:rowOff>
    </xdr:from>
    <xdr:to>
      <xdr:col>6</xdr:col>
      <xdr:colOff>180975</xdr:colOff>
      <xdr:row>14</xdr:row>
      <xdr:rowOff>47625</xdr:rowOff>
    </xdr:to>
    <xdr:pic>
      <xdr:nvPicPr>
        <xdr:cNvPr id="16" name="CommandButton1"/>
        <xdr:cNvPicPr preferRelativeResize="1">
          <a:picLocks noChangeAspect="1"/>
        </xdr:cNvPicPr>
      </xdr:nvPicPr>
      <xdr:blipFill>
        <a:blip r:embed="rId16"/>
        <a:stretch>
          <a:fillRect/>
        </a:stretch>
      </xdr:blipFill>
      <xdr:spPr>
        <a:xfrm>
          <a:off x="2543175" y="2209800"/>
          <a:ext cx="1285875" cy="247650"/>
        </a:xfrm>
        <a:prstGeom prst="rect">
          <a:avLst/>
        </a:prstGeom>
        <a:noFill/>
        <a:ln w="9525" cmpd="sng">
          <a:noFill/>
        </a:ln>
      </xdr:spPr>
    </xdr:pic>
    <xdr:clientData/>
  </xdr:twoCellAnchor>
  <xdr:twoCellAnchor editAs="oneCell">
    <xdr:from>
      <xdr:col>4</xdr:col>
      <xdr:colOff>238125</xdr:colOff>
      <xdr:row>11</xdr:row>
      <xdr:rowOff>9525</xdr:rowOff>
    </xdr:from>
    <xdr:to>
      <xdr:col>6</xdr:col>
      <xdr:colOff>161925</xdr:colOff>
      <xdr:row>12</xdr:row>
      <xdr:rowOff>104775</xdr:rowOff>
    </xdr:to>
    <xdr:pic>
      <xdr:nvPicPr>
        <xdr:cNvPr id="17" name="CommandButton7"/>
        <xdr:cNvPicPr preferRelativeResize="1">
          <a:picLocks noChangeAspect="1"/>
        </xdr:cNvPicPr>
      </xdr:nvPicPr>
      <xdr:blipFill>
        <a:blip r:embed="rId17"/>
        <a:stretch>
          <a:fillRect/>
        </a:stretch>
      </xdr:blipFill>
      <xdr:spPr>
        <a:xfrm>
          <a:off x="2524125" y="1895475"/>
          <a:ext cx="1285875" cy="257175"/>
        </a:xfrm>
        <a:prstGeom prst="rect">
          <a:avLst/>
        </a:prstGeom>
        <a:noFill/>
        <a:ln w="9525" cmpd="sng">
          <a:noFill/>
        </a:ln>
      </xdr:spPr>
    </xdr:pic>
    <xdr:clientData/>
  </xdr:twoCellAnchor>
  <xdr:twoCellAnchor editAs="oneCell">
    <xdr:from>
      <xdr:col>4</xdr:col>
      <xdr:colOff>247650</xdr:colOff>
      <xdr:row>9</xdr:row>
      <xdr:rowOff>47625</xdr:rowOff>
    </xdr:from>
    <xdr:to>
      <xdr:col>6</xdr:col>
      <xdr:colOff>171450</xdr:colOff>
      <xdr:row>10</xdr:row>
      <xdr:rowOff>152400</xdr:rowOff>
    </xdr:to>
    <xdr:pic>
      <xdr:nvPicPr>
        <xdr:cNvPr id="18" name="CommandButton8"/>
        <xdr:cNvPicPr preferRelativeResize="1">
          <a:picLocks noChangeAspect="1"/>
        </xdr:cNvPicPr>
      </xdr:nvPicPr>
      <xdr:blipFill>
        <a:blip r:embed="rId18"/>
        <a:stretch>
          <a:fillRect/>
        </a:stretch>
      </xdr:blipFill>
      <xdr:spPr>
        <a:xfrm>
          <a:off x="2533650" y="1600200"/>
          <a:ext cx="1285875" cy="276225"/>
        </a:xfrm>
        <a:prstGeom prst="rect">
          <a:avLst/>
        </a:prstGeom>
        <a:noFill/>
        <a:ln w="9525" cmpd="sng">
          <a:noFill/>
        </a:ln>
      </xdr:spPr>
    </xdr:pic>
    <xdr:clientData/>
  </xdr:twoCellAnchor>
  <xdr:twoCellAnchor editAs="oneCell">
    <xdr:from>
      <xdr:col>10</xdr:col>
      <xdr:colOff>142875</xdr:colOff>
      <xdr:row>19</xdr:row>
      <xdr:rowOff>142875</xdr:rowOff>
    </xdr:from>
    <xdr:to>
      <xdr:col>10</xdr:col>
      <xdr:colOff>752475</xdr:colOff>
      <xdr:row>21</xdr:row>
      <xdr:rowOff>114300</xdr:rowOff>
    </xdr:to>
    <xdr:pic>
      <xdr:nvPicPr>
        <xdr:cNvPr id="19" name="CommandButton9"/>
        <xdr:cNvPicPr preferRelativeResize="1">
          <a:picLocks noChangeAspect="1"/>
        </xdr:cNvPicPr>
      </xdr:nvPicPr>
      <xdr:blipFill>
        <a:blip r:embed="rId19"/>
        <a:stretch>
          <a:fillRect/>
        </a:stretch>
      </xdr:blipFill>
      <xdr:spPr>
        <a:xfrm>
          <a:off x="5314950" y="3381375"/>
          <a:ext cx="609600" cy="295275"/>
        </a:xfrm>
        <a:prstGeom prst="rect">
          <a:avLst/>
        </a:prstGeom>
        <a:noFill/>
        <a:ln w="9525" cmpd="sng">
          <a:noFill/>
        </a:ln>
      </xdr:spPr>
    </xdr:pic>
    <xdr:clientData/>
  </xdr:twoCellAnchor>
  <xdr:twoCellAnchor editAs="oneCell">
    <xdr:from>
      <xdr:col>10</xdr:col>
      <xdr:colOff>514350</xdr:colOff>
      <xdr:row>16</xdr:row>
      <xdr:rowOff>133350</xdr:rowOff>
    </xdr:from>
    <xdr:to>
      <xdr:col>11</xdr:col>
      <xdr:colOff>438150</xdr:colOff>
      <xdr:row>19</xdr:row>
      <xdr:rowOff>114300</xdr:rowOff>
    </xdr:to>
    <xdr:pic>
      <xdr:nvPicPr>
        <xdr:cNvPr id="20" name="CommandButton10"/>
        <xdr:cNvPicPr preferRelativeResize="1">
          <a:picLocks noChangeAspect="1"/>
        </xdr:cNvPicPr>
      </xdr:nvPicPr>
      <xdr:blipFill>
        <a:blip r:embed="rId20"/>
        <a:stretch>
          <a:fillRect/>
        </a:stretch>
      </xdr:blipFill>
      <xdr:spPr>
        <a:xfrm>
          <a:off x="5686425" y="2886075"/>
          <a:ext cx="904875" cy="466725"/>
        </a:xfrm>
        <a:prstGeom prst="rect">
          <a:avLst/>
        </a:prstGeom>
        <a:noFill/>
        <a:ln w="9525" cmpd="sng">
          <a:noFill/>
        </a:ln>
      </xdr:spPr>
    </xdr:pic>
    <xdr:clientData/>
  </xdr:twoCellAnchor>
  <xdr:twoCellAnchor editAs="oneCell">
    <xdr:from>
      <xdr:col>2</xdr:col>
      <xdr:colOff>38100</xdr:colOff>
      <xdr:row>17</xdr:row>
      <xdr:rowOff>66675</xdr:rowOff>
    </xdr:from>
    <xdr:to>
      <xdr:col>3</xdr:col>
      <xdr:colOff>304800</xdr:colOff>
      <xdr:row>20</xdr:row>
      <xdr:rowOff>114300</xdr:rowOff>
    </xdr:to>
    <xdr:pic>
      <xdr:nvPicPr>
        <xdr:cNvPr id="21" name="CommandButton11"/>
        <xdr:cNvPicPr preferRelativeResize="1">
          <a:picLocks noChangeAspect="1"/>
        </xdr:cNvPicPr>
      </xdr:nvPicPr>
      <xdr:blipFill>
        <a:blip r:embed="rId21"/>
        <a:stretch>
          <a:fillRect/>
        </a:stretch>
      </xdr:blipFill>
      <xdr:spPr>
        <a:xfrm>
          <a:off x="1295400" y="2981325"/>
          <a:ext cx="914400" cy="533400"/>
        </a:xfrm>
        <a:prstGeom prst="rect">
          <a:avLst/>
        </a:prstGeom>
        <a:noFill/>
        <a:ln w="9525" cmpd="sng">
          <a:noFill/>
        </a:ln>
      </xdr:spPr>
    </xdr:pic>
    <xdr:clientData/>
  </xdr:twoCellAnchor>
  <xdr:twoCellAnchor editAs="oneCell">
    <xdr:from>
      <xdr:col>4</xdr:col>
      <xdr:colOff>266700</xdr:colOff>
      <xdr:row>7</xdr:row>
      <xdr:rowOff>47625</xdr:rowOff>
    </xdr:from>
    <xdr:to>
      <xdr:col>6</xdr:col>
      <xdr:colOff>190500</xdr:colOff>
      <xdr:row>8</xdr:row>
      <xdr:rowOff>152400</xdr:rowOff>
    </xdr:to>
    <xdr:pic>
      <xdr:nvPicPr>
        <xdr:cNvPr id="22" name="CommandButton12"/>
        <xdr:cNvPicPr preferRelativeResize="1">
          <a:picLocks noChangeAspect="1"/>
        </xdr:cNvPicPr>
      </xdr:nvPicPr>
      <xdr:blipFill>
        <a:blip r:embed="rId22"/>
        <a:stretch>
          <a:fillRect/>
        </a:stretch>
      </xdr:blipFill>
      <xdr:spPr>
        <a:xfrm>
          <a:off x="2552700" y="1257300"/>
          <a:ext cx="1285875" cy="276225"/>
        </a:xfrm>
        <a:prstGeom prst="rect">
          <a:avLst/>
        </a:prstGeom>
        <a:noFill/>
        <a:ln w="9525" cmpd="sng">
          <a:noFill/>
        </a:ln>
      </xdr:spPr>
    </xdr:pic>
    <xdr:clientData/>
  </xdr:twoCellAnchor>
  <xdr:twoCellAnchor editAs="oneCell">
    <xdr:from>
      <xdr:col>4</xdr:col>
      <xdr:colOff>276225</xdr:colOff>
      <xdr:row>5</xdr:row>
      <xdr:rowOff>47625</xdr:rowOff>
    </xdr:from>
    <xdr:to>
      <xdr:col>6</xdr:col>
      <xdr:colOff>200025</xdr:colOff>
      <xdr:row>7</xdr:row>
      <xdr:rowOff>0</xdr:rowOff>
    </xdr:to>
    <xdr:pic>
      <xdr:nvPicPr>
        <xdr:cNvPr id="23" name="CommandButton13"/>
        <xdr:cNvPicPr preferRelativeResize="1">
          <a:picLocks noChangeAspect="1"/>
        </xdr:cNvPicPr>
      </xdr:nvPicPr>
      <xdr:blipFill>
        <a:blip r:embed="rId23"/>
        <a:stretch>
          <a:fillRect/>
        </a:stretch>
      </xdr:blipFill>
      <xdr:spPr>
        <a:xfrm>
          <a:off x="2562225" y="933450"/>
          <a:ext cx="1285875" cy="276225"/>
        </a:xfrm>
        <a:prstGeom prst="rect">
          <a:avLst/>
        </a:prstGeom>
        <a:noFill/>
        <a:ln w="9525" cmpd="sng">
          <a:noFill/>
        </a:ln>
      </xdr:spPr>
    </xdr:pic>
    <xdr:clientData/>
  </xdr:twoCellAnchor>
  <xdr:twoCellAnchor editAs="oneCell">
    <xdr:from>
      <xdr:col>4</xdr:col>
      <xdr:colOff>361950</xdr:colOff>
      <xdr:row>3</xdr:row>
      <xdr:rowOff>28575</xdr:rowOff>
    </xdr:from>
    <xdr:to>
      <xdr:col>6</xdr:col>
      <xdr:colOff>47625</xdr:colOff>
      <xdr:row>4</xdr:row>
      <xdr:rowOff>133350</xdr:rowOff>
    </xdr:to>
    <xdr:pic>
      <xdr:nvPicPr>
        <xdr:cNvPr id="24" name="ToggleButton2"/>
        <xdr:cNvPicPr preferRelativeResize="1">
          <a:picLocks noChangeAspect="1"/>
        </xdr:cNvPicPr>
      </xdr:nvPicPr>
      <xdr:blipFill>
        <a:blip r:embed="rId24"/>
        <a:stretch>
          <a:fillRect/>
        </a:stretch>
      </xdr:blipFill>
      <xdr:spPr>
        <a:xfrm>
          <a:off x="2647950" y="581025"/>
          <a:ext cx="10477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8</xdr:row>
      <xdr:rowOff>114300</xdr:rowOff>
    </xdr:from>
    <xdr:to>
      <xdr:col>0</xdr:col>
      <xdr:colOff>657225</xdr:colOff>
      <xdr:row>11</xdr:row>
      <xdr:rowOff>38100</xdr:rowOff>
    </xdr:to>
    <xdr:pic>
      <xdr:nvPicPr>
        <xdr:cNvPr id="1" name="CommandButton1"/>
        <xdr:cNvPicPr preferRelativeResize="1">
          <a:picLocks noChangeAspect="1"/>
        </xdr:cNvPicPr>
      </xdr:nvPicPr>
      <xdr:blipFill>
        <a:blip r:embed="rId1"/>
        <a:stretch>
          <a:fillRect/>
        </a:stretch>
      </xdr:blipFill>
      <xdr:spPr>
        <a:xfrm>
          <a:off x="19050" y="1609725"/>
          <a:ext cx="638175" cy="409575"/>
        </a:xfrm>
        <a:prstGeom prst="rect">
          <a:avLst/>
        </a:prstGeom>
        <a:noFill/>
        <a:ln w="9525" cmpd="sng">
          <a:noFill/>
        </a:ln>
      </xdr:spPr>
    </xdr:pic>
    <xdr:clientData/>
  </xdr:twoCellAnchor>
  <xdr:twoCellAnchor editAs="oneCell">
    <xdr:from>
      <xdr:col>0</xdr:col>
      <xdr:colOff>76200</xdr:colOff>
      <xdr:row>4</xdr:row>
      <xdr:rowOff>76200</xdr:rowOff>
    </xdr:from>
    <xdr:to>
      <xdr:col>0</xdr:col>
      <xdr:colOff>619125</xdr:colOff>
      <xdr:row>8</xdr:row>
      <xdr:rowOff>19050</xdr:rowOff>
    </xdr:to>
    <xdr:pic>
      <xdr:nvPicPr>
        <xdr:cNvPr id="2" name="CommandButton2"/>
        <xdr:cNvPicPr preferRelativeResize="1">
          <a:picLocks noChangeAspect="1"/>
        </xdr:cNvPicPr>
      </xdr:nvPicPr>
      <xdr:blipFill>
        <a:blip r:embed="rId2"/>
        <a:stretch>
          <a:fillRect/>
        </a:stretch>
      </xdr:blipFill>
      <xdr:spPr>
        <a:xfrm>
          <a:off x="76200" y="914400"/>
          <a:ext cx="542925" cy="600075"/>
        </a:xfrm>
        <a:prstGeom prst="rect">
          <a:avLst/>
        </a:prstGeom>
        <a:noFill/>
        <a:ln w="9525" cmpd="sng">
          <a:noFill/>
        </a:ln>
      </xdr:spPr>
    </xdr:pic>
    <xdr:clientData/>
  </xdr:twoCellAnchor>
  <xdr:twoCellAnchor editAs="oneCell">
    <xdr:from>
      <xdr:col>0</xdr:col>
      <xdr:colOff>47625</xdr:colOff>
      <xdr:row>1</xdr:row>
      <xdr:rowOff>9525</xdr:rowOff>
    </xdr:from>
    <xdr:to>
      <xdr:col>0</xdr:col>
      <xdr:colOff>571500</xdr:colOff>
      <xdr:row>3</xdr:row>
      <xdr:rowOff>152400</xdr:rowOff>
    </xdr:to>
    <xdr:pic>
      <xdr:nvPicPr>
        <xdr:cNvPr id="3" name="CommandButton3"/>
        <xdr:cNvPicPr preferRelativeResize="1">
          <a:picLocks noChangeAspect="1"/>
        </xdr:cNvPicPr>
      </xdr:nvPicPr>
      <xdr:blipFill>
        <a:blip r:embed="rId3"/>
        <a:stretch>
          <a:fillRect/>
        </a:stretch>
      </xdr:blipFill>
      <xdr:spPr>
        <a:xfrm>
          <a:off x="47625" y="180975"/>
          <a:ext cx="5238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xdr:row>
      <xdr:rowOff>114300</xdr:rowOff>
    </xdr:from>
    <xdr:to>
      <xdr:col>12</xdr:col>
      <xdr:colOff>142875</xdr:colOff>
      <xdr:row>23</xdr:row>
      <xdr:rowOff>28575</xdr:rowOff>
    </xdr:to>
    <xdr:graphicFrame>
      <xdr:nvGraphicFramePr>
        <xdr:cNvPr id="1" name="Chart 5"/>
        <xdr:cNvGraphicFramePr/>
      </xdr:nvGraphicFramePr>
      <xdr:xfrm>
        <a:off x="2638425" y="276225"/>
        <a:ext cx="4829175" cy="34956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24</xdr:row>
      <xdr:rowOff>95250</xdr:rowOff>
    </xdr:from>
    <xdr:to>
      <xdr:col>10</xdr:col>
      <xdr:colOff>600075</xdr:colOff>
      <xdr:row>26</xdr:row>
      <xdr:rowOff>76200</xdr:rowOff>
    </xdr:to>
    <xdr:pic>
      <xdr:nvPicPr>
        <xdr:cNvPr id="2" name="CommandButton1"/>
        <xdr:cNvPicPr preferRelativeResize="1">
          <a:picLocks noChangeAspect="1"/>
        </xdr:cNvPicPr>
      </xdr:nvPicPr>
      <xdr:blipFill>
        <a:blip r:embed="rId2"/>
        <a:stretch>
          <a:fillRect/>
        </a:stretch>
      </xdr:blipFill>
      <xdr:spPr>
        <a:xfrm>
          <a:off x="6238875" y="4000500"/>
          <a:ext cx="466725" cy="304800"/>
        </a:xfrm>
        <a:prstGeom prst="rect">
          <a:avLst/>
        </a:prstGeom>
        <a:noFill/>
        <a:ln w="9525" cmpd="sng">
          <a:noFill/>
        </a:ln>
      </xdr:spPr>
    </xdr:pic>
    <xdr:clientData/>
  </xdr:twoCellAnchor>
  <xdr:twoCellAnchor editAs="oneCell">
    <xdr:from>
      <xdr:col>3</xdr:col>
      <xdr:colOff>47625</xdr:colOff>
      <xdr:row>22</xdr:row>
      <xdr:rowOff>19050</xdr:rowOff>
    </xdr:from>
    <xdr:to>
      <xdr:col>3</xdr:col>
      <xdr:colOff>714375</xdr:colOff>
      <xdr:row>24</xdr:row>
      <xdr:rowOff>104775</xdr:rowOff>
    </xdr:to>
    <xdr:pic>
      <xdr:nvPicPr>
        <xdr:cNvPr id="3" name="CommandButton2"/>
        <xdr:cNvPicPr preferRelativeResize="1">
          <a:picLocks noChangeAspect="1"/>
        </xdr:cNvPicPr>
      </xdr:nvPicPr>
      <xdr:blipFill>
        <a:blip r:embed="rId3"/>
        <a:stretch>
          <a:fillRect/>
        </a:stretch>
      </xdr:blipFill>
      <xdr:spPr>
        <a:xfrm>
          <a:off x="1581150" y="3600450"/>
          <a:ext cx="6667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4</xdr:row>
      <xdr:rowOff>76200</xdr:rowOff>
    </xdr:from>
    <xdr:to>
      <xdr:col>13</xdr:col>
      <xdr:colOff>466725</xdr:colOff>
      <xdr:row>19</xdr:row>
      <xdr:rowOff>123825</xdr:rowOff>
    </xdr:to>
    <xdr:graphicFrame>
      <xdr:nvGraphicFramePr>
        <xdr:cNvPr id="1" name="Chart 1"/>
        <xdr:cNvGraphicFramePr/>
      </xdr:nvGraphicFramePr>
      <xdr:xfrm>
        <a:off x="4724400" y="742950"/>
        <a:ext cx="3448050" cy="2590800"/>
      </xdr:xfrm>
      <a:graphic>
        <a:graphicData uri="http://schemas.openxmlformats.org/drawingml/2006/chart">
          <c:chart xmlns:c="http://schemas.openxmlformats.org/drawingml/2006/chart" r:id="rId1"/>
        </a:graphicData>
      </a:graphic>
    </xdr:graphicFrame>
    <xdr:clientData/>
  </xdr:twoCellAnchor>
  <xdr:twoCellAnchor>
    <xdr:from>
      <xdr:col>2</xdr:col>
      <xdr:colOff>190500</xdr:colOff>
      <xdr:row>4</xdr:row>
      <xdr:rowOff>85725</xdr:rowOff>
    </xdr:from>
    <xdr:to>
      <xdr:col>7</xdr:col>
      <xdr:colOff>561975</xdr:colOff>
      <xdr:row>19</xdr:row>
      <xdr:rowOff>104775</xdr:rowOff>
    </xdr:to>
    <xdr:graphicFrame>
      <xdr:nvGraphicFramePr>
        <xdr:cNvPr id="2" name="Chart 2"/>
        <xdr:cNvGraphicFramePr/>
      </xdr:nvGraphicFramePr>
      <xdr:xfrm>
        <a:off x="1447800" y="752475"/>
        <a:ext cx="3143250" cy="2562225"/>
      </xdr:xfrm>
      <a:graphic>
        <a:graphicData uri="http://schemas.openxmlformats.org/drawingml/2006/chart">
          <c:chart xmlns:c="http://schemas.openxmlformats.org/drawingml/2006/chart" r:id="rId2"/>
        </a:graphicData>
      </a:graphic>
    </xdr:graphicFrame>
    <xdr:clientData/>
  </xdr:twoCellAnchor>
  <xdr:twoCellAnchor editAs="oneCell">
    <xdr:from>
      <xdr:col>11</xdr:col>
      <xdr:colOff>123825</xdr:colOff>
      <xdr:row>25</xdr:row>
      <xdr:rowOff>57150</xdr:rowOff>
    </xdr:from>
    <xdr:to>
      <xdr:col>13</xdr:col>
      <xdr:colOff>533400</xdr:colOff>
      <xdr:row>27</xdr:row>
      <xdr:rowOff>161925</xdr:rowOff>
    </xdr:to>
    <xdr:pic>
      <xdr:nvPicPr>
        <xdr:cNvPr id="3" name="CommandButton1"/>
        <xdr:cNvPicPr preferRelativeResize="1">
          <a:picLocks noChangeAspect="1"/>
        </xdr:cNvPicPr>
      </xdr:nvPicPr>
      <xdr:blipFill>
        <a:blip r:embed="rId3"/>
        <a:stretch>
          <a:fillRect/>
        </a:stretch>
      </xdr:blipFill>
      <xdr:spPr>
        <a:xfrm>
          <a:off x="6591300" y="4238625"/>
          <a:ext cx="1647825" cy="428625"/>
        </a:xfrm>
        <a:prstGeom prst="rect">
          <a:avLst/>
        </a:prstGeom>
        <a:noFill/>
        <a:ln w="9525" cmpd="sng">
          <a:noFill/>
        </a:ln>
      </xdr:spPr>
    </xdr:pic>
    <xdr:clientData/>
  </xdr:twoCellAnchor>
  <xdr:twoCellAnchor editAs="oneCell">
    <xdr:from>
      <xdr:col>3</xdr:col>
      <xdr:colOff>523875</xdr:colOff>
      <xdr:row>25</xdr:row>
      <xdr:rowOff>104775</xdr:rowOff>
    </xdr:from>
    <xdr:to>
      <xdr:col>4</xdr:col>
      <xdr:colOff>466725</xdr:colOff>
      <xdr:row>27</xdr:row>
      <xdr:rowOff>104775</xdr:rowOff>
    </xdr:to>
    <xdr:pic>
      <xdr:nvPicPr>
        <xdr:cNvPr id="4" name="SpinButton1"/>
        <xdr:cNvPicPr preferRelativeResize="1">
          <a:picLocks noChangeAspect="1"/>
        </xdr:cNvPicPr>
      </xdr:nvPicPr>
      <xdr:blipFill>
        <a:blip r:embed="rId4"/>
        <a:stretch>
          <a:fillRect/>
        </a:stretch>
      </xdr:blipFill>
      <xdr:spPr>
        <a:xfrm>
          <a:off x="2028825" y="4286250"/>
          <a:ext cx="552450" cy="323850"/>
        </a:xfrm>
        <a:prstGeom prst="rect">
          <a:avLst/>
        </a:prstGeom>
        <a:noFill/>
        <a:ln w="9525" cmpd="sng">
          <a:noFill/>
        </a:ln>
      </xdr:spPr>
    </xdr:pic>
    <xdr:clientData/>
  </xdr:twoCellAnchor>
  <xdr:twoCellAnchor editAs="oneCell">
    <xdr:from>
      <xdr:col>3</xdr:col>
      <xdr:colOff>123825</xdr:colOff>
      <xdr:row>25</xdr:row>
      <xdr:rowOff>57150</xdr:rowOff>
    </xdr:from>
    <xdr:to>
      <xdr:col>5</xdr:col>
      <xdr:colOff>542925</xdr:colOff>
      <xdr:row>27</xdr:row>
      <xdr:rowOff>161925</xdr:rowOff>
    </xdr:to>
    <xdr:pic>
      <xdr:nvPicPr>
        <xdr:cNvPr id="5" name="CommandButton3"/>
        <xdr:cNvPicPr preferRelativeResize="1">
          <a:picLocks noChangeAspect="1"/>
        </xdr:cNvPicPr>
      </xdr:nvPicPr>
      <xdr:blipFill>
        <a:blip r:embed="rId5"/>
        <a:stretch>
          <a:fillRect/>
        </a:stretch>
      </xdr:blipFill>
      <xdr:spPr>
        <a:xfrm>
          <a:off x="1628775" y="4238625"/>
          <a:ext cx="1647825" cy="428625"/>
        </a:xfrm>
        <a:prstGeom prst="rect">
          <a:avLst/>
        </a:prstGeom>
        <a:noFill/>
        <a:ln w="9525" cmpd="sng">
          <a:noFill/>
        </a:ln>
      </xdr:spPr>
    </xdr:pic>
    <xdr:clientData/>
  </xdr:twoCellAnchor>
  <xdr:twoCellAnchor editAs="oneCell">
    <xdr:from>
      <xdr:col>5</xdr:col>
      <xdr:colOff>47625</xdr:colOff>
      <xdr:row>1</xdr:row>
      <xdr:rowOff>28575</xdr:rowOff>
    </xdr:from>
    <xdr:to>
      <xdr:col>8</xdr:col>
      <xdr:colOff>19050</xdr:colOff>
      <xdr:row>4</xdr:row>
      <xdr:rowOff>38100</xdr:rowOff>
    </xdr:to>
    <xdr:pic>
      <xdr:nvPicPr>
        <xdr:cNvPr id="6" name="ToggleButton1"/>
        <xdr:cNvPicPr preferRelativeResize="1">
          <a:picLocks noChangeAspect="1"/>
        </xdr:cNvPicPr>
      </xdr:nvPicPr>
      <xdr:blipFill>
        <a:blip r:embed="rId6"/>
        <a:stretch>
          <a:fillRect/>
        </a:stretch>
      </xdr:blipFill>
      <xdr:spPr>
        <a:xfrm>
          <a:off x="2781300" y="200025"/>
          <a:ext cx="1876425" cy="504825"/>
        </a:xfrm>
        <a:prstGeom prst="rect">
          <a:avLst/>
        </a:prstGeom>
        <a:noFill/>
        <a:ln w="9525" cmpd="sng">
          <a:noFill/>
        </a:ln>
      </xdr:spPr>
    </xdr:pic>
    <xdr:clientData/>
  </xdr:twoCellAnchor>
  <xdr:twoCellAnchor editAs="oneCell">
    <xdr:from>
      <xdr:col>8</xdr:col>
      <xdr:colOff>276225</xdr:colOff>
      <xdr:row>1</xdr:row>
      <xdr:rowOff>104775</xdr:rowOff>
    </xdr:from>
    <xdr:to>
      <xdr:col>9</xdr:col>
      <xdr:colOff>581025</xdr:colOff>
      <xdr:row>3</xdr:row>
      <xdr:rowOff>76200</xdr:rowOff>
    </xdr:to>
    <xdr:pic>
      <xdr:nvPicPr>
        <xdr:cNvPr id="7" name="CommandButton2"/>
        <xdr:cNvPicPr preferRelativeResize="1">
          <a:picLocks noChangeAspect="1"/>
        </xdr:cNvPicPr>
      </xdr:nvPicPr>
      <xdr:blipFill>
        <a:blip r:embed="rId7"/>
        <a:stretch>
          <a:fillRect/>
        </a:stretch>
      </xdr:blipFill>
      <xdr:spPr>
        <a:xfrm>
          <a:off x="4914900" y="276225"/>
          <a:ext cx="914400" cy="304800"/>
        </a:xfrm>
        <a:prstGeom prst="rect">
          <a:avLst/>
        </a:prstGeom>
        <a:noFill/>
        <a:ln w="9525" cmpd="sng">
          <a:noFill/>
        </a:ln>
      </xdr:spPr>
    </xdr:pic>
    <xdr:clientData/>
  </xdr:twoCellAnchor>
  <xdr:twoCellAnchor editAs="oneCell">
    <xdr:from>
      <xdr:col>10</xdr:col>
      <xdr:colOff>66675</xdr:colOff>
      <xdr:row>1</xdr:row>
      <xdr:rowOff>76200</xdr:rowOff>
    </xdr:from>
    <xdr:to>
      <xdr:col>13</xdr:col>
      <xdr:colOff>9525</xdr:colOff>
      <xdr:row>4</xdr:row>
      <xdr:rowOff>38100</xdr:rowOff>
    </xdr:to>
    <xdr:pic>
      <xdr:nvPicPr>
        <xdr:cNvPr id="8" name="CommandButton4"/>
        <xdr:cNvPicPr preferRelativeResize="1">
          <a:picLocks noChangeAspect="1"/>
        </xdr:cNvPicPr>
      </xdr:nvPicPr>
      <xdr:blipFill>
        <a:blip r:embed="rId8"/>
        <a:stretch>
          <a:fillRect/>
        </a:stretch>
      </xdr:blipFill>
      <xdr:spPr>
        <a:xfrm>
          <a:off x="5924550" y="247650"/>
          <a:ext cx="1790700" cy="457200"/>
        </a:xfrm>
        <a:prstGeom prst="rect">
          <a:avLst/>
        </a:prstGeom>
        <a:noFill/>
        <a:ln w="9525" cmpd="sng">
          <a:noFill/>
        </a:ln>
      </xdr:spPr>
    </xdr:pic>
    <xdr:clientData/>
  </xdr:twoCellAnchor>
  <xdr:twoCellAnchor editAs="oneCell">
    <xdr:from>
      <xdr:col>6</xdr:col>
      <xdr:colOff>123825</xdr:colOff>
      <xdr:row>25</xdr:row>
      <xdr:rowOff>104775</xdr:rowOff>
    </xdr:from>
    <xdr:to>
      <xdr:col>7</xdr:col>
      <xdr:colOff>180975</xdr:colOff>
      <xdr:row>28</xdr:row>
      <xdr:rowOff>19050</xdr:rowOff>
    </xdr:to>
    <xdr:pic>
      <xdr:nvPicPr>
        <xdr:cNvPr id="9" name="CommandButton5"/>
        <xdr:cNvPicPr preferRelativeResize="1">
          <a:picLocks noChangeAspect="1"/>
        </xdr:cNvPicPr>
      </xdr:nvPicPr>
      <xdr:blipFill>
        <a:blip r:embed="rId9"/>
        <a:stretch>
          <a:fillRect/>
        </a:stretch>
      </xdr:blipFill>
      <xdr:spPr>
        <a:xfrm>
          <a:off x="3505200" y="4286250"/>
          <a:ext cx="704850" cy="409575"/>
        </a:xfrm>
        <a:prstGeom prst="rect">
          <a:avLst/>
        </a:prstGeom>
        <a:noFill/>
        <a:ln w="9525" cmpd="sng">
          <a:noFill/>
        </a:ln>
      </xdr:spPr>
    </xdr:pic>
    <xdr:clientData/>
  </xdr:twoCellAnchor>
  <xdr:twoCellAnchor editAs="oneCell">
    <xdr:from>
      <xdr:col>6</xdr:col>
      <xdr:colOff>314325</xdr:colOff>
      <xdr:row>14</xdr:row>
      <xdr:rowOff>19050</xdr:rowOff>
    </xdr:from>
    <xdr:to>
      <xdr:col>7</xdr:col>
      <xdr:colOff>238125</xdr:colOff>
      <xdr:row>17</xdr:row>
      <xdr:rowOff>28575</xdr:rowOff>
    </xdr:to>
    <xdr:pic>
      <xdr:nvPicPr>
        <xdr:cNvPr id="10" name="TextBox1"/>
        <xdr:cNvPicPr preferRelativeResize="1">
          <a:picLocks noChangeAspect="1"/>
        </xdr:cNvPicPr>
      </xdr:nvPicPr>
      <xdr:blipFill>
        <a:blip r:embed="rId10"/>
        <a:stretch>
          <a:fillRect/>
        </a:stretch>
      </xdr:blipFill>
      <xdr:spPr>
        <a:xfrm>
          <a:off x="3695700" y="2419350"/>
          <a:ext cx="571500" cy="495300"/>
        </a:xfrm>
        <a:prstGeom prst="rect">
          <a:avLst/>
        </a:prstGeom>
        <a:noFill/>
        <a:ln w="9525" cmpd="sng">
          <a:noFill/>
        </a:ln>
      </xdr:spPr>
    </xdr:pic>
    <xdr:clientData/>
  </xdr:twoCellAnchor>
  <xdr:twoCellAnchor editAs="oneCell">
    <xdr:from>
      <xdr:col>11</xdr:col>
      <xdr:colOff>590550</xdr:colOff>
      <xdr:row>13</xdr:row>
      <xdr:rowOff>114300</xdr:rowOff>
    </xdr:from>
    <xdr:to>
      <xdr:col>13</xdr:col>
      <xdr:colOff>133350</xdr:colOff>
      <xdr:row>16</xdr:row>
      <xdr:rowOff>123825</xdr:rowOff>
    </xdr:to>
    <xdr:pic>
      <xdr:nvPicPr>
        <xdr:cNvPr id="11" name="TextBox2"/>
        <xdr:cNvPicPr preferRelativeResize="1">
          <a:picLocks noChangeAspect="1"/>
        </xdr:cNvPicPr>
      </xdr:nvPicPr>
      <xdr:blipFill>
        <a:blip r:embed="rId11"/>
        <a:stretch>
          <a:fillRect/>
        </a:stretch>
      </xdr:blipFill>
      <xdr:spPr>
        <a:xfrm>
          <a:off x="7058025" y="2352675"/>
          <a:ext cx="7810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76200</xdr:rowOff>
    </xdr:from>
    <xdr:to>
      <xdr:col>13</xdr:col>
      <xdr:colOff>171450</xdr:colOff>
      <xdr:row>27</xdr:row>
      <xdr:rowOff>123825</xdr:rowOff>
    </xdr:to>
    <xdr:graphicFrame>
      <xdr:nvGraphicFramePr>
        <xdr:cNvPr id="1" name="Chart 1"/>
        <xdr:cNvGraphicFramePr/>
      </xdr:nvGraphicFramePr>
      <xdr:xfrm>
        <a:off x="2438400" y="1143000"/>
        <a:ext cx="5048250" cy="3562350"/>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0</xdr:colOff>
      <xdr:row>16</xdr:row>
      <xdr:rowOff>57150</xdr:rowOff>
    </xdr:from>
    <xdr:to>
      <xdr:col>4</xdr:col>
      <xdr:colOff>219075</xdr:colOff>
      <xdr:row>20</xdr:row>
      <xdr:rowOff>104775</xdr:rowOff>
    </xdr:to>
    <xdr:pic>
      <xdr:nvPicPr>
        <xdr:cNvPr id="2" name="ScrollBar1"/>
        <xdr:cNvPicPr preferRelativeResize="1">
          <a:picLocks noChangeAspect="1"/>
        </xdr:cNvPicPr>
      </xdr:nvPicPr>
      <xdr:blipFill>
        <a:blip r:embed="rId2"/>
        <a:stretch>
          <a:fillRect/>
        </a:stretch>
      </xdr:blipFill>
      <xdr:spPr>
        <a:xfrm>
          <a:off x="2181225" y="2838450"/>
          <a:ext cx="219075" cy="695325"/>
        </a:xfrm>
        <a:prstGeom prst="rect">
          <a:avLst/>
        </a:prstGeom>
        <a:noFill/>
        <a:ln w="9525" cmpd="sng">
          <a:noFill/>
        </a:ln>
      </xdr:spPr>
    </xdr:pic>
    <xdr:clientData/>
  </xdr:twoCellAnchor>
  <xdr:twoCellAnchor editAs="oneCell">
    <xdr:from>
      <xdr:col>1</xdr:col>
      <xdr:colOff>142875</xdr:colOff>
      <xdr:row>21</xdr:row>
      <xdr:rowOff>38100</xdr:rowOff>
    </xdr:from>
    <xdr:to>
      <xdr:col>2</xdr:col>
      <xdr:colOff>352425</xdr:colOff>
      <xdr:row>23</xdr:row>
      <xdr:rowOff>104775</xdr:rowOff>
    </xdr:to>
    <xdr:pic>
      <xdr:nvPicPr>
        <xdr:cNvPr id="3" name="CommandButton1"/>
        <xdr:cNvPicPr preferRelativeResize="1">
          <a:picLocks noChangeAspect="1"/>
        </xdr:cNvPicPr>
      </xdr:nvPicPr>
      <xdr:blipFill>
        <a:blip r:embed="rId3"/>
        <a:stretch>
          <a:fillRect/>
        </a:stretch>
      </xdr:blipFill>
      <xdr:spPr>
        <a:xfrm>
          <a:off x="390525" y="3629025"/>
          <a:ext cx="92392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8</xdr:row>
      <xdr:rowOff>95250</xdr:rowOff>
    </xdr:from>
    <xdr:to>
      <xdr:col>13</xdr:col>
      <xdr:colOff>304800</xdr:colOff>
      <xdr:row>26</xdr:row>
      <xdr:rowOff>38100</xdr:rowOff>
    </xdr:to>
    <xdr:graphicFrame>
      <xdr:nvGraphicFramePr>
        <xdr:cNvPr id="1" name="Chart 1"/>
        <xdr:cNvGraphicFramePr/>
      </xdr:nvGraphicFramePr>
      <xdr:xfrm>
        <a:off x="4324350" y="1400175"/>
        <a:ext cx="3962400" cy="28575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8</xdr:row>
      <xdr:rowOff>114300</xdr:rowOff>
    </xdr:from>
    <xdr:to>
      <xdr:col>6</xdr:col>
      <xdr:colOff>514350</xdr:colOff>
      <xdr:row>26</xdr:row>
      <xdr:rowOff>66675</xdr:rowOff>
    </xdr:to>
    <xdr:graphicFrame>
      <xdr:nvGraphicFramePr>
        <xdr:cNvPr id="2" name="Chart 2"/>
        <xdr:cNvGraphicFramePr/>
      </xdr:nvGraphicFramePr>
      <xdr:xfrm>
        <a:off x="190500" y="1419225"/>
        <a:ext cx="4000500" cy="2867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142875</xdr:colOff>
      <xdr:row>5</xdr:row>
      <xdr:rowOff>38100</xdr:rowOff>
    </xdr:from>
    <xdr:to>
      <xdr:col>1</xdr:col>
      <xdr:colOff>457200</xdr:colOff>
      <xdr:row>7</xdr:row>
      <xdr:rowOff>114300</xdr:rowOff>
    </xdr:to>
    <xdr:pic>
      <xdr:nvPicPr>
        <xdr:cNvPr id="3" name="CommandButton1"/>
        <xdr:cNvPicPr preferRelativeResize="1">
          <a:picLocks noChangeAspect="1"/>
        </xdr:cNvPicPr>
      </xdr:nvPicPr>
      <xdr:blipFill>
        <a:blip r:embed="rId3"/>
        <a:stretch>
          <a:fillRect/>
        </a:stretch>
      </xdr:blipFill>
      <xdr:spPr>
        <a:xfrm>
          <a:off x="142875" y="847725"/>
          <a:ext cx="923925" cy="409575"/>
        </a:xfrm>
        <a:prstGeom prst="rect">
          <a:avLst/>
        </a:prstGeom>
        <a:noFill/>
        <a:ln w="9525" cmpd="sng">
          <a:noFill/>
        </a:ln>
      </xdr:spPr>
    </xdr:pic>
    <xdr:clientData/>
  </xdr:twoCellAnchor>
  <xdr:twoCellAnchor editAs="oneCell">
    <xdr:from>
      <xdr:col>0</xdr:col>
      <xdr:colOff>161925</xdr:colOff>
      <xdr:row>29</xdr:row>
      <xdr:rowOff>85725</xdr:rowOff>
    </xdr:from>
    <xdr:to>
      <xdr:col>1</xdr:col>
      <xdr:colOff>571500</xdr:colOff>
      <xdr:row>31</xdr:row>
      <xdr:rowOff>66675</xdr:rowOff>
    </xdr:to>
    <xdr:pic>
      <xdr:nvPicPr>
        <xdr:cNvPr id="4" name="CommandButton2"/>
        <xdr:cNvPicPr preferRelativeResize="1">
          <a:picLocks noChangeAspect="1"/>
        </xdr:cNvPicPr>
      </xdr:nvPicPr>
      <xdr:blipFill>
        <a:blip r:embed="rId4"/>
        <a:stretch>
          <a:fillRect/>
        </a:stretch>
      </xdr:blipFill>
      <xdr:spPr>
        <a:xfrm>
          <a:off x="161925" y="4791075"/>
          <a:ext cx="1019175" cy="304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57150</xdr:rowOff>
    </xdr:from>
    <xdr:to>
      <xdr:col>13</xdr:col>
      <xdr:colOff>123825</xdr:colOff>
      <xdr:row>33</xdr:row>
      <xdr:rowOff>114300</xdr:rowOff>
    </xdr:to>
    <xdr:pic>
      <xdr:nvPicPr>
        <xdr:cNvPr id="1" name="Picture 2"/>
        <xdr:cNvPicPr preferRelativeResize="1">
          <a:picLocks noChangeAspect="1"/>
        </xdr:cNvPicPr>
      </xdr:nvPicPr>
      <xdr:blipFill>
        <a:blip r:embed="rId1"/>
        <a:srcRect l="9765" t="13801" r="11604" b="8854"/>
        <a:stretch>
          <a:fillRect/>
        </a:stretch>
      </xdr:blipFill>
      <xdr:spPr>
        <a:xfrm>
          <a:off x="733425" y="57150"/>
          <a:ext cx="7315200" cy="5400675"/>
        </a:xfrm>
        <a:prstGeom prst="rect">
          <a:avLst/>
        </a:prstGeom>
        <a:noFill/>
        <a:ln w="1" cmpd="sng">
          <a:noFill/>
        </a:ln>
      </xdr:spPr>
    </xdr:pic>
    <xdr:clientData/>
  </xdr:twoCellAnchor>
  <xdr:twoCellAnchor editAs="oneCell">
    <xdr:from>
      <xdr:col>0</xdr:col>
      <xdr:colOff>47625</xdr:colOff>
      <xdr:row>11</xdr:row>
      <xdr:rowOff>28575</xdr:rowOff>
    </xdr:from>
    <xdr:to>
      <xdr:col>1</xdr:col>
      <xdr:colOff>104775</xdr:colOff>
      <xdr:row>13</xdr:row>
      <xdr:rowOff>114300</xdr:rowOff>
    </xdr:to>
    <xdr:pic>
      <xdr:nvPicPr>
        <xdr:cNvPr id="2" name="CommandButton1"/>
        <xdr:cNvPicPr preferRelativeResize="1">
          <a:picLocks noChangeAspect="1"/>
        </xdr:cNvPicPr>
      </xdr:nvPicPr>
      <xdr:blipFill>
        <a:blip r:embed="rId2"/>
        <a:stretch>
          <a:fillRect/>
        </a:stretch>
      </xdr:blipFill>
      <xdr:spPr>
        <a:xfrm>
          <a:off x="47625" y="1809750"/>
          <a:ext cx="666750"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152400</xdr:rowOff>
    </xdr:from>
    <xdr:to>
      <xdr:col>14</xdr:col>
      <xdr:colOff>314325</xdr:colOff>
      <xdr:row>36</xdr:row>
      <xdr:rowOff>142875</xdr:rowOff>
    </xdr:to>
    <xdr:pic>
      <xdr:nvPicPr>
        <xdr:cNvPr id="1" name="Picture 5"/>
        <xdr:cNvPicPr preferRelativeResize="1">
          <a:picLocks noChangeAspect="1"/>
        </xdr:cNvPicPr>
      </xdr:nvPicPr>
      <xdr:blipFill>
        <a:blip r:embed="rId1"/>
        <a:srcRect t="7031" r="17285" b="8337"/>
        <a:stretch>
          <a:fillRect/>
        </a:stretch>
      </xdr:blipFill>
      <xdr:spPr>
        <a:xfrm>
          <a:off x="819150" y="152400"/>
          <a:ext cx="8029575" cy="5819775"/>
        </a:xfrm>
        <a:prstGeom prst="rect">
          <a:avLst/>
        </a:prstGeom>
        <a:noFill/>
        <a:ln w="1" cmpd="sng">
          <a:noFill/>
        </a:ln>
      </xdr:spPr>
    </xdr:pic>
    <xdr:clientData/>
  </xdr:twoCellAnchor>
  <xdr:twoCellAnchor editAs="oneCell">
    <xdr:from>
      <xdr:col>0</xdr:col>
      <xdr:colOff>38100</xdr:colOff>
      <xdr:row>10</xdr:row>
      <xdr:rowOff>0</xdr:rowOff>
    </xdr:from>
    <xdr:to>
      <xdr:col>1</xdr:col>
      <xdr:colOff>180975</xdr:colOff>
      <xdr:row>12</xdr:row>
      <xdr:rowOff>85725</xdr:rowOff>
    </xdr:to>
    <xdr:pic>
      <xdr:nvPicPr>
        <xdr:cNvPr id="2" name="CommandButton1"/>
        <xdr:cNvPicPr preferRelativeResize="1">
          <a:picLocks noChangeAspect="1"/>
        </xdr:cNvPicPr>
      </xdr:nvPicPr>
      <xdr:blipFill>
        <a:blip r:embed="rId2"/>
        <a:stretch>
          <a:fillRect/>
        </a:stretch>
      </xdr:blipFill>
      <xdr:spPr>
        <a:xfrm>
          <a:off x="38100" y="1619250"/>
          <a:ext cx="75247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rthur\jhickox$\Documents%20and%20Settings\ken\Desktop\mmap%20edition\excel\textbook\Line%20Transects\transec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thur\jhickox$\WINDOWS\Desktop\textbook\pl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ensus"/>
      <sheetName val="simulator"/>
      <sheetName val="estimator"/>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D-calc"/>
      <sheetName val="SD--&gt;SE"/>
      <sheetName val="p-value"/>
      <sheetName val="power"/>
      <sheetName val="CLT"/>
      <sheetName val="welc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X33"/>
  <sheetViews>
    <sheetView showGridLines="0" showRowColHeaders="0" zoomScale="128" zoomScaleNormal="128" zoomScalePageLayoutView="0" workbookViewId="0" topLeftCell="A1">
      <selection activeCell="L26" sqref="L26"/>
    </sheetView>
  </sheetViews>
  <sheetFormatPr defaultColWidth="9.140625" defaultRowHeight="12.75"/>
  <cols>
    <col min="1" max="1" width="1.7109375" style="0" customWidth="1"/>
    <col min="2" max="2" width="17.140625" style="0" bestFit="1" customWidth="1"/>
    <col min="3" max="3" width="9.7109375" style="0" bestFit="1" customWidth="1"/>
    <col min="4" max="5" width="5.7109375" style="0" customWidth="1"/>
    <col min="6" max="6" width="14.7109375" style="0" customWidth="1"/>
    <col min="7" max="7" width="7.7109375" style="0" customWidth="1"/>
    <col min="8" max="8" width="5.7109375" style="0" customWidth="1"/>
    <col min="9" max="9" width="6.7109375" style="0" customWidth="1"/>
    <col min="10" max="10" width="2.7109375" style="0" customWidth="1"/>
    <col min="11" max="11" width="14.7109375" style="0" customWidth="1"/>
    <col min="12" max="12" width="8.7109375" style="0" customWidth="1"/>
    <col min="13" max="13" width="11.57421875" style="36" bestFit="1" customWidth="1"/>
    <col min="14" max="14" width="9.28125" style="8" bestFit="1" customWidth="1"/>
    <col min="15" max="15" width="9.28125" style="35" bestFit="1" customWidth="1"/>
    <col min="16" max="17" width="9.421875" style="36" bestFit="1" customWidth="1"/>
    <col min="18" max="18" width="12.7109375" style="36" bestFit="1" customWidth="1"/>
    <col min="19" max="19" width="12.421875" style="36" bestFit="1" customWidth="1"/>
    <col min="20" max="20" width="9.140625" style="8" customWidth="1"/>
    <col min="23" max="25" width="9.140625" style="5" customWidth="1"/>
    <col min="26" max="27" width="12.421875" style="5" bestFit="1" customWidth="1"/>
    <col min="28" max="29" width="9.140625" style="5" customWidth="1"/>
  </cols>
  <sheetData>
    <row r="1" spans="13:19" ht="15" customHeight="1" thickBot="1">
      <c r="M1" s="5"/>
      <c r="O1" s="35" t="s">
        <v>89</v>
      </c>
      <c r="P1" s="36">
        <f>IF(B10="Increase",1,0)</f>
        <v>0</v>
      </c>
      <c r="Q1" s="49"/>
      <c r="R1" s="49"/>
      <c r="S1" s="49"/>
    </row>
    <row r="2" spans="2:19" ht="15" customHeight="1" thickTop="1">
      <c r="B2" s="20"/>
      <c r="C2" s="30">
        <v>10</v>
      </c>
      <c r="D2" s="9"/>
      <c r="H2" s="167" t="s">
        <v>52</v>
      </c>
      <c r="I2" s="168"/>
      <c r="J2" s="168"/>
      <c r="K2" s="168"/>
      <c r="L2" s="169"/>
      <c r="O2" s="35" t="s">
        <v>18</v>
      </c>
      <c r="P2" s="36">
        <f>IF(C5=TRUE,1,2)</f>
        <v>2</v>
      </c>
      <c r="Q2" s="49"/>
      <c r="R2" s="49"/>
      <c r="S2" s="49"/>
    </row>
    <row r="3" spans="2:24" ht="13.5" thickBot="1">
      <c r="B3" s="15" t="s">
        <v>0</v>
      </c>
      <c r="C3" s="17">
        <f>C2/200</f>
        <v>0.05</v>
      </c>
      <c r="D3" s="12"/>
      <c r="H3" s="170"/>
      <c r="I3" s="171"/>
      <c r="J3" s="171"/>
      <c r="K3" s="171"/>
      <c r="L3" s="172"/>
      <c r="O3" s="35" t="s">
        <v>9</v>
      </c>
      <c r="P3" s="36">
        <f>IF(OR(J18=1,J18=2),L23,G23)</f>
        <v>25</v>
      </c>
      <c r="Q3" s="49"/>
      <c r="R3" s="49"/>
      <c r="S3" s="49"/>
      <c r="X3" s="6"/>
    </row>
    <row r="4" spans="2:19" ht="13.5" thickTop="1">
      <c r="B4" s="22" t="s">
        <v>8</v>
      </c>
      <c r="C4" s="19">
        <f>IF(C5=TRUE,TINV(2*C3,P18),TINV(C3,P18))</f>
        <v>2.063898547318068</v>
      </c>
      <c r="D4" s="12"/>
      <c r="F4" s="73" t="b">
        <v>1</v>
      </c>
      <c r="H4" s="174" t="s">
        <v>53</v>
      </c>
      <c r="I4" s="175"/>
      <c r="J4" s="175"/>
      <c r="K4" s="175"/>
      <c r="L4" s="176"/>
      <c r="O4" s="35" t="s">
        <v>10</v>
      </c>
      <c r="P4" s="103">
        <f>IF(J18=4,L26,L23)</f>
        <v>25</v>
      </c>
      <c r="Q4" s="49"/>
      <c r="R4" s="49"/>
      <c r="S4" s="49"/>
    </row>
    <row r="5" spans="2:19" ht="12.75">
      <c r="B5" s="10" t="str">
        <f>IF(C5=TRUE,"one-sided","two-sided")</f>
        <v>two-sided</v>
      </c>
      <c r="C5" s="11" t="b">
        <v>0</v>
      </c>
      <c r="D5" s="12"/>
      <c r="E5" s="14"/>
      <c r="H5" s="177"/>
      <c r="I5" s="178"/>
      <c r="J5" s="178"/>
      <c r="K5" s="178"/>
      <c r="L5" s="179"/>
      <c r="O5" s="35" t="s">
        <v>11</v>
      </c>
      <c r="P5" s="36">
        <f>IF(C24=0,C27^2,IF(C24=1,C27^2,IF(C24=2,(C12*C27)^2,C12*C27)))</f>
        <v>121</v>
      </c>
      <c r="Q5" s="49"/>
      <c r="R5" s="49"/>
      <c r="S5" s="49"/>
    </row>
    <row r="6" spans="2:19" ht="12.75">
      <c r="B6" s="13"/>
      <c r="C6" s="14"/>
      <c r="D6" s="12"/>
      <c r="E6" s="14"/>
      <c r="H6" s="177"/>
      <c r="I6" s="178"/>
      <c r="J6" s="178"/>
      <c r="K6" s="178"/>
      <c r="L6" s="179"/>
      <c r="O6" s="35" t="s">
        <v>12</v>
      </c>
      <c r="P6" s="36">
        <f>IF(C24=0,C27^2,IF(C24=1,C28^2,IF(C24=2,(C13*C27)^2,C13*C27)))</f>
        <v>30.25</v>
      </c>
      <c r="Q6" s="49"/>
      <c r="R6" s="49"/>
      <c r="S6" s="49"/>
    </row>
    <row r="7" spans="2:19" ht="12.75">
      <c r="B7" s="13"/>
      <c r="C7" s="14"/>
      <c r="D7" s="12"/>
      <c r="E7" s="14"/>
      <c r="H7" s="177"/>
      <c r="I7" s="178"/>
      <c r="J7" s="178"/>
      <c r="K7" s="178"/>
      <c r="L7" s="179"/>
      <c r="O7" s="35" t="s">
        <v>27</v>
      </c>
      <c r="P7" s="36">
        <f>(P5/P3+P6/P4)^2/((P5/P3)^2/(P3-1)+(P6/P4)^2/(P4-1))</f>
        <v>35.29411764705882</v>
      </c>
      <c r="Q7" s="49"/>
      <c r="R7" s="49"/>
      <c r="S7" s="49"/>
    </row>
    <row r="8" spans="2:19" ht="13.5" thickBot="1">
      <c r="B8" s="13"/>
      <c r="C8" s="14"/>
      <c r="D8" s="12"/>
      <c r="E8" s="14"/>
      <c r="H8" s="177"/>
      <c r="I8" s="178"/>
      <c r="J8" s="178"/>
      <c r="K8" s="178"/>
      <c r="L8" s="179"/>
      <c r="O8" s="35" t="s">
        <v>7</v>
      </c>
      <c r="P8" s="104">
        <f>CHOOSE(J18,I20,0,0,I20)</f>
        <v>0.4</v>
      </c>
      <c r="Q8" s="49"/>
      <c r="R8" s="49"/>
      <c r="S8" s="49"/>
    </row>
    <row r="9" spans="1:19" ht="13.5" thickTop="1">
      <c r="A9">
        <v>10</v>
      </c>
      <c r="B9" s="20"/>
      <c r="C9" s="21"/>
      <c r="D9" s="9"/>
      <c r="E9" s="14"/>
      <c r="H9" s="180"/>
      <c r="I9" s="181"/>
      <c r="J9" s="181"/>
      <c r="K9" s="181"/>
      <c r="L9" s="182"/>
      <c r="O9" s="35" t="s">
        <v>91</v>
      </c>
      <c r="P9" s="36">
        <f>P5/P3</f>
        <v>4.84</v>
      </c>
      <c r="Q9" s="49"/>
      <c r="R9" s="49"/>
      <c r="S9" s="49"/>
    </row>
    <row r="10" spans="2:19" ht="13.5" thickBot="1">
      <c r="B10" s="10" t="str">
        <f>IF(C10=TRUE,"Increase","Decrease")</f>
        <v>Decrease</v>
      </c>
      <c r="C10" s="11" t="b">
        <v>0</v>
      </c>
      <c r="D10" s="12"/>
      <c r="E10" s="14"/>
      <c r="H10" s="183"/>
      <c r="I10" s="184"/>
      <c r="J10" s="184"/>
      <c r="K10" s="184"/>
      <c r="L10" s="185"/>
      <c r="O10" s="35" t="s">
        <v>25</v>
      </c>
      <c r="P10" s="36">
        <f>1/((P5+P6-2*P8*SQRT(P5*P6))/P3)</f>
        <v>0.24307243558580457</v>
      </c>
      <c r="Q10" s="49"/>
      <c r="R10" s="49"/>
      <c r="S10" s="49"/>
    </row>
    <row r="11" spans="2:19" ht="12.75" customHeight="1" thickTop="1">
      <c r="B11" s="13"/>
      <c r="C11" s="14"/>
      <c r="D11" s="12"/>
      <c r="E11" s="14"/>
      <c r="O11" s="35" t="s">
        <v>26</v>
      </c>
      <c r="P11" s="36">
        <f>1/(P5/P3+P6/P4)</f>
        <v>0.1652892561983471</v>
      </c>
      <c r="Q11" s="49"/>
      <c r="R11" s="49"/>
      <c r="S11" s="49"/>
    </row>
    <row r="12" spans="2:19" ht="12.75" customHeight="1">
      <c r="B12" s="25" t="s">
        <v>115</v>
      </c>
      <c r="C12" s="16">
        <v>10</v>
      </c>
      <c r="D12" s="12"/>
      <c r="E12" s="14"/>
      <c r="K12" s="173">
        <f>1-NORMSDIST(P21/P22)</f>
        <v>0.6647692517919144</v>
      </c>
      <c r="O12" s="35" t="s">
        <v>23</v>
      </c>
      <c r="P12" s="36">
        <f>P10/(P10+P11)</f>
        <v>0.5952380952380952</v>
      </c>
      <c r="Q12" s="49"/>
      <c r="R12" s="49"/>
      <c r="S12" s="49"/>
    </row>
    <row r="13" spans="2:19" ht="15.75">
      <c r="B13" s="15" t="s">
        <v>6</v>
      </c>
      <c r="C13" s="17">
        <f>C12*(1+C14*(2*P1-1))</f>
        <v>5</v>
      </c>
      <c r="D13" s="12"/>
      <c r="E13" s="14"/>
      <c r="H13" s="160" t="s">
        <v>1</v>
      </c>
      <c r="I13" s="160"/>
      <c r="J13" s="160"/>
      <c r="K13" s="173"/>
      <c r="O13" s="35" t="s">
        <v>24</v>
      </c>
      <c r="P13" s="36">
        <f>1-P12</f>
        <v>0.40476190476190477</v>
      </c>
      <c r="Q13" s="49"/>
      <c r="R13" s="49"/>
      <c r="S13" s="49"/>
    </row>
    <row r="14" spans="2:19" ht="12.75">
      <c r="B14" s="15" t="s">
        <v>5</v>
      </c>
      <c r="C14" s="31">
        <f>C16/100</f>
        <v>0.5</v>
      </c>
      <c r="D14" s="12"/>
      <c r="E14" s="14"/>
      <c r="K14" s="173"/>
      <c r="O14" s="35" t="s">
        <v>92</v>
      </c>
      <c r="P14" s="36">
        <f>IF(J18=4,P13^2,1)*P6/P4</f>
        <v>1.21</v>
      </c>
      <c r="Q14" s="49"/>
      <c r="R14" s="49"/>
      <c r="S14" s="49"/>
    </row>
    <row r="15" spans="2:19" ht="13.5" thickBot="1">
      <c r="B15" s="13"/>
      <c r="C15" s="14"/>
      <c r="D15" s="12"/>
      <c r="E15" s="14"/>
      <c r="O15" s="35" t="s">
        <v>93</v>
      </c>
      <c r="P15" s="36">
        <f>IF(J18=4,P12^2,0)*P6/P3</f>
        <v>0</v>
      </c>
      <c r="Q15" s="49"/>
      <c r="R15" s="49"/>
      <c r="S15" s="49"/>
    </row>
    <row r="16" spans="2:19" ht="13.5" thickTop="1">
      <c r="B16" s="13"/>
      <c r="C16" s="11">
        <v>50</v>
      </c>
      <c r="D16" s="12"/>
      <c r="E16" s="14"/>
      <c r="F16" s="20"/>
      <c r="G16" s="155" t="str">
        <f>CHOOSE(J18,"paired sampling","independent, equal sample sizes","independent, unequal sample sizes","paired &amp; independent (at 2nd time)")</f>
        <v>paired sampling</v>
      </c>
      <c r="H16" s="156"/>
      <c r="I16" s="156"/>
      <c r="J16" s="165" t="s">
        <v>39</v>
      </c>
      <c r="K16" s="165"/>
      <c r="L16" s="166"/>
      <c r="M16" s="105"/>
      <c r="O16" s="35" t="s">
        <v>90</v>
      </c>
      <c r="P16" s="36">
        <f>IF(J18=4,P12,1)*(-2*P8*SQRT(P5*P6)/P3)</f>
        <v>-1.9360000000000002</v>
      </c>
      <c r="Q16" s="49"/>
      <c r="R16" s="49"/>
      <c r="S16" s="49"/>
    </row>
    <row r="17" spans="2:19" ht="12.75" customHeight="1" thickBot="1">
      <c r="B17" s="23"/>
      <c r="C17" s="24"/>
      <c r="D17" s="18"/>
      <c r="F17" s="13"/>
      <c r="G17" s="157"/>
      <c r="H17" s="157"/>
      <c r="I17" s="157"/>
      <c r="J17" s="29"/>
      <c r="K17" s="14"/>
      <c r="L17" s="12"/>
      <c r="M17" s="105"/>
      <c r="N17" s="106"/>
      <c r="O17" s="35" t="s">
        <v>20</v>
      </c>
      <c r="P17" s="36">
        <f>SQRT(P9+P14+P15+P16)</f>
        <v>2.0282997806044354</v>
      </c>
      <c r="Q17" s="49"/>
      <c r="R17" s="49"/>
      <c r="S17" s="49"/>
    </row>
    <row r="18" spans="2:19" ht="12.75" customHeight="1" thickTop="1">
      <c r="B18" s="20"/>
      <c r="C18" s="21"/>
      <c r="D18" s="9"/>
      <c r="F18" s="13"/>
      <c r="G18" s="157"/>
      <c r="H18" s="157"/>
      <c r="I18" s="157"/>
      <c r="J18" s="11">
        <v>1</v>
      </c>
      <c r="K18" s="14"/>
      <c r="L18" s="12"/>
      <c r="M18" s="105"/>
      <c r="O18" s="35" t="s">
        <v>13</v>
      </c>
      <c r="P18" s="36">
        <f>CHOOSE(J18,P3-1,P7,P7,(1/P10+1/P11)^2/(1/(P10^2*(P3-1))+1/(P11^2*(P7))))</f>
        <v>24</v>
      </c>
      <c r="Q18" s="49"/>
      <c r="R18" s="49"/>
      <c r="S18" s="49"/>
    </row>
    <row r="19" spans="2:19" ht="12.75">
      <c r="B19" s="13"/>
      <c r="D19" s="12"/>
      <c r="F19" s="43"/>
      <c r="G19" s="40"/>
      <c r="I19" s="14"/>
      <c r="J19" s="14"/>
      <c r="K19" s="14"/>
      <c r="L19" s="12"/>
      <c r="M19" s="105"/>
      <c r="O19" s="35" t="s">
        <v>17</v>
      </c>
      <c r="P19" s="111">
        <f>C4</f>
        <v>2.063898547318068</v>
      </c>
      <c r="Q19" s="49"/>
      <c r="R19" s="49"/>
      <c r="S19" s="49"/>
    </row>
    <row r="20" spans="2:23" ht="12.75" customHeight="1">
      <c r="B20" s="13"/>
      <c r="D20" s="12"/>
      <c r="E20" s="4"/>
      <c r="F20" s="13"/>
      <c r="G20" s="158" t="s">
        <v>7</v>
      </c>
      <c r="H20" s="159"/>
      <c r="I20" s="60">
        <f>H21/100</f>
        <v>0.4</v>
      </c>
      <c r="J20" s="14"/>
      <c r="K20" s="14"/>
      <c r="L20" s="12"/>
      <c r="M20" s="105"/>
      <c r="O20" s="35" t="s">
        <v>19</v>
      </c>
      <c r="P20" s="106">
        <f>ABS(C13-C12)/P17</f>
        <v>2.4651188388483654</v>
      </c>
      <c r="Q20" s="49"/>
      <c r="R20" s="49"/>
      <c r="S20" s="49"/>
      <c r="W20" s="7"/>
    </row>
    <row r="21" spans="2:23" ht="12.75">
      <c r="B21" s="13"/>
      <c r="D21" s="12"/>
      <c r="F21" s="13"/>
      <c r="G21" s="41" t="s">
        <v>2</v>
      </c>
      <c r="H21" s="151">
        <v>40</v>
      </c>
      <c r="I21" s="42"/>
      <c r="J21" s="14"/>
      <c r="K21" s="14"/>
      <c r="L21" s="12"/>
      <c r="M21" s="105"/>
      <c r="O21" s="35" t="s">
        <v>21</v>
      </c>
      <c r="P21" s="36">
        <f>P19*(1-1/(4*P18))^2-P20</f>
        <v>-0.443994230607744</v>
      </c>
      <c r="Q21" s="49"/>
      <c r="R21" s="49"/>
      <c r="S21" s="49"/>
      <c r="W21" s="7"/>
    </row>
    <row r="22" spans="2:23" ht="12.75">
      <c r="B22" s="154" t="str">
        <f>IF(C24=0,"constant SD",IF(C24=1,"different SDs",IF(C24=2,"SDs proportional to mean","variances proportional to mean")))</f>
        <v>SDs proportional to mean</v>
      </c>
      <c r="C22" s="161" t="s">
        <v>39</v>
      </c>
      <c r="D22" s="162"/>
      <c r="F22" s="32"/>
      <c r="G22" s="14"/>
      <c r="H22" s="14"/>
      <c r="I22" s="14"/>
      <c r="J22" s="14"/>
      <c r="K22" s="14"/>
      <c r="L22" s="12"/>
      <c r="M22" s="105"/>
      <c r="O22" s="35" t="s">
        <v>22</v>
      </c>
      <c r="P22" s="112">
        <f>SQRT(1+P19^2/(2*P18))</f>
        <v>1.04342861532727</v>
      </c>
      <c r="Q22" s="49"/>
      <c r="R22" s="49"/>
      <c r="S22" s="49"/>
      <c r="W22" s="7"/>
    </row>
    <row r="23" spans="2:23" ht="12.75" customHeight="1">
      <c r="B23" s="154"/>
      <c r="C23" s="163"/>
      <c r="D23" s="162"/>
      <c r="F23" s="34" t="s">
        <v>37</v>
      </c>
      <c r="G23" s="33">
        <f>G24</f>
        <v>25</v>
      </c>
      <c r="H23" s="14"/>
      <c r="I23" s="14"/>
      <c r="J23" s="14"/>
      <c r="K23" s="37" t="s">
        <v>36</v>
      </c>
      <c r="L23" s="44">
        <f>IF(J18=3,L24,G23)</f>
        <v>25</v>
      </c>
      <c r="M23" s="105"/>
      <c r="Q23" s="49"/>
      <c r="R23" s="49"/>
      <c r="S23" s="49"/>
      <c r="W23" s="7"/>
    </row>
    <row r="24" spans="2:19" ht="12.75" customHeight="1">
      <c r="B24" s="154"/>
      <c r="C24" s="11">
        <v>2</v>
      </c>
      <c r="D24" s="12"/>
      <c r="F24" s="13"/>
      <c r="G24" s="11">
        <v>25</v>
      </c>
      <c r="H24" s="14"/>
      <c r="I24" s="14"/>
      <c r="J24" s="14"/>
      <c r="K24" s="38"/>
      <c r="L24" s="45">
        <v>400</v>
      </c>
      <c r="M24" s="105"/>
      <c r="Q24" s="49"/>
      <c r="R24" s="49"/>
      <c r="S24" s="49"/>
    </row>
    <row r="25" spans="2:19" ht="12.75">
      <c r="B25" s="13"/>
      <c r="C25" s="14"/>
      <c r="D25" s="12"/>
      <c r="F25" s="13"/>
      <c r="G25" s="14"/>
      <c r="H25" s="14"/>
      <c r="I25" s="14"/>
      <c r="J25" s="14"/>
      <c r="K25" s="38"/>
      <c r="L25" s="12"/>
      <c r="M25" s="107"/>
      <c r="N25" s="108"/>
      <c r="Q25" s="49"/>
      <c r="R25" s="49"/>
      <c r="S25" s="49"/>
    </row>
    <row r="26" spans="2:19" ht="12.75">
      <c r="B26" s="13"/>
      <c r="D26" s="12"/>
      <c r="F26" s="13"/>
      <c r="G26" s="14"/>
      <c r="H26" s="14"/>
      <c r="I26" s="14"/>
      <c r="J26" s="14"/>
      <c r="K26" s="113" t="s">
        <v>38</v>
      </c>
      <c r="L26" s="114">
        <f>L27</f>
        <v>345</v>
      </c>
      <c r="M26" s="109"/>
      <c r="N26" s="108"/>
      <c r="Q26" s="164" t="s">
        <v>45</v>
      </c>
      <c r="R26" s="164"/>
      <c r="S26" s="49"/>
    </row>
    <row r="27" spans="2:19" ht="12.75">
      <c r="B27" s="26" t="str">
        <f>IF(C24=0,"estimate of SD",IF(C24=1,"sample 1 SD:",IF(C24=2,"ratio of SD/mean:","ratio of Var/mean:")))</f>
        <v>ratio of SD/mean:</v>
      </c>
      <c r="C27" s="16">
        <v>1.1</v>
      </c>
      <c r="D27" s="12"/>
      <c r="F27" s="13"/>
      <c r="G27" s="46"/>
      <c r="H27" s="14"/>
      <c r="I27" s="14"/>
      <c r="J27" s="14"/>
      <c r="K27" s="2"/>
      <c r="L27" s="48">
        <v>345</v>
      </c>
      <c r="M27" s="109"/>
      <c r="N27" s="110"/>
      <c r="Q27" s="49">
        <f>graphs!D8</f>
        <v>2.0282997806044354</v>
      </c>
      <c r="R27" s="49"/>
      <c r="S27" s="49"/>
    </row>
    <row r="28" spans="2:19" ht="12.75" customHeight="1" thickBot="1">
      <c r="B28" s="27" t="str">
        <f>IF(C24=1,"Sample 2 SD:"," ")</f>
        <v> </v>
      </c>
      <c r="C28" s="28">
        <v>5</v>
      </c>
      <c r="D28" s="12"/>
      <c r="F28" s="23"/>
      <c r="G28" s="47"/>
      <c r="H28" s="24"/>
      <c r="I28" s="24"/>
      <c r="J28" s="24"/>
      <c r="K28" s="24"/>
      <c r="L28" s="18"/>
      <c r="M28" s="105"/>
      <c r="Q28" s="49"/>
      <c r="R28" s="49"/>
      <c r="S28" s="49"/>
    </row>
    <row r="29" spans="2:19" ht="13.5" thickTop="1">
      <c r="B29" s="21"/>
      <c r="C29" s="21"/>
      <c r="D29" s="21"/>
      <c r="F29" s="39"/>
      <c r="Q29" s="49">
        <f>ABS(C13-C12)/Q27</f>
        <v>2.4651188388483654</v>
      </c>
      <c r="R29" s="49"/>
      <c r="S29" s="49"/>
    </row>
    <row r="30" spans="1:19" ht="12.75">
      <c r="A30" s="1"/>
      <c r="B30" s="14"/>
      <c r="C30" s="14"/>
      <c r="D30" s="14"/>
      <c r="Q30" s="49"/>
      <c r="R30" s="49"/>
      <c r="S30" s="49"/>
    </row>
    <row r="31" spans="1:19" ht="12.75">
      <c r="A31" s="1"/>
      <c r="Q31" s="49"/>
      <c r="R31" s="49"/>
      <c r="S31" s="49"/>
    </row>
    <row r="32" spans="2:19" ht="12.75">
      <c r="B32" s="3"/>
      <c r="C32" s="4"/>
      <c r="Q32" s="49"/>
      <c r="R32" s="49"/>
      <c r="S32" s="49"/>
    </row>
    <row r="33" spans="17:19" ht="12.75">
      <c r="Q33" s="49"/>
      <c r="R33" s="49"/>
      <c r="S33" s="49"/>
    </row>
  </sheetData>
  <sheetProtection sheet="1" objects="1" scenarios="1"/>
  <mergeCells count="10">
    <mergeCell ref="H2:L3"/>
    <mergeCell ref="K12:K14"/>
    <mergeCell ref="H4:L10"/>
    <mergeCell ref="B22:B24"/>
    <mergeCell ref="G16:I18"/>
    <mergeCell ref="G20:H20"/>
    <mergeCell ref="H13:J13"/>
    <mergeCell ref="C22:D23"/>
    <mergeCell ref="Q26:R26"/>
    <mergeCell ref="J16:L16"/>
  </mergeCells>
  <conditionalFormatting sqref="B28">
    <cfRule type="expression" priority="1" dxfId="1" stopIfTrue="1">
      <formula>$C24=1</formula>
    </cfRule>
  </conditionalFormatting>
  <conditionalFormatting sqref="C28">
    <cfRule type="expression" priority="2" dxfId="0" stopIfTrue="1">
      <formula>$C$24=1</formula>
    </cfRule>
  </conditionalFormatting>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8"/>
  <dimension ref="A2:O200"/>
  <sheetViews>
    <sheetView zoomScale="136" zoomScaleNormal="136" zoomScalePageLayoutView="0" workbookViewId="0" topLeftCell="A1">
      <selection activeCell="C15" sqref="C15"/>
    </sheetView>
  </sheetViews>
  <sheetFormatPr defaultColWidth="9.140625" defaultRowHeight="12.75"/>
  <cols>
    <col min="1" max="1" width="10.7109375" style="0" customWidth="1"/>
    <col min="2" max="2" width="4.57421875" style="0" customWidth="1"/>
    <col min="3" max="3" width="6.28125" style="0" customWidth="1"/>
    <col min="4" max="4" width="6.421875" style="0" customWidth="1"/>
    <col min="5" max="5" width="6.140625" style="0" customWidth="1"/>
    <col min="6" max="6" width="5.00390625" style="0" customWidth="1"/>
    <col min="8" max="8" width="5.421875" style="137" customWidth="1"/>
    <col min="9" max="9" width="15.57421875" style="0" customWidth="1"/>
    <col min="10" max="10" width="8.7109375" style="0" customWidth="1"/>
    <col min="11" max="11" width="7.421875" style="0" customWidth="1"/>
    <col min="12" max="12" width="7.140625" style="0" customWidth="1"/>
    <col min="13" max="14" width="4.7109375" style="0" customWidth="1"/>
  </cols>
  <sheetData>
    <row r="1" ht="13.5" thickBot="1"/>
    <row r="2" spans="8:11" ht="13.5" thickBot="1">
      <c r="H2" s="186" t="s">
        <v>114</v>
      </c>
      <c r="I2" s="188"/>
      <c r="J2" s="188"/>
      <c r="K2" s="189"/>
    </row>
    <row r="3" spans="2:12" ht="25.5">
      <c r="B3" s="136"/>
      <c r="C3" s="136"/>
      <c r="D3" s="96" t="s">
        <v>117</v>
      </c>
      <c r="E3" s="96" t="s">
        <v>113</v>
      </c>
      <c r="F3" s="186" t="s">
        <v>107</v>
      </c>
      <c r="G3" s="187"/>
      <c r="H3" s="138"/>
      <c r="I3" s="14"/>
      <c r="J3" s="14"/>
      <c r="K3" s="139" t="s">
        <v>116</v>
      </c>
      <c r="L3" s="96" t="s">
        <v>104</v>
      </c>
    </row>
    <row r="4" spans="2:15" ht="13.5" thickBot="1">
      <c r="B4" s="140" t="s">
        <v>119</v>
      </c>
      <c r="C4" s="140" t="s">
        <v>0</v>
      </c>
      <c r="D4" s="140" t="s">
        <v>120</v>
      </c>
      <c r="E4" s="140" t="s">
        <v>85</v>
      </c>
      <c r="F4" s="141" t="s">
        <v>121</v>
      </c>
      <c r="G4" s="142" t="s">
        <v>122</v>
      </c>
      <c r="H4" s="143" t="s">
        <v>126</v>
      </c>
      <c r="I4" s="140" t="s">
        <v>123</v>
      </c>
      <c r="J4" s="140" t="s">
        <v>124</v>
      </c>
      <c r="K4" s="142" t="s">
        <v>125</v>
      </c>
      <c r="L4" s="144" t="s">
        <v>126</v>
      </c>
      <c r="M4" s="140" t="s">
        <v>9</v>
      </c>
      <c r="N4" s="140" t="s">
        <v>10</v>
      </c>
      <c r="O4" s="145" t="s">
        <v>118</v>
      </c>
    </row>
    <row r="5" ht="13.5" thickTop="1">
      <c r="H5"/>
    </row>
    <row r="6" ht="12.75">
      <c r="H6"/>
    </row>
    <row r="7" ht="12.75">
      <c r="H7"/>
    </row>
    <row r="8" ht="12.75">
      <c r="H8"/>
    </row>
    <row r="9" ht="12.75">
      <c r="H9"/>
    </row>
    <row r="10" spans="1:8" ht="12.75">
      <c r="A10" s="136">
        <f>MAX(B5:B201)</f>
        <v>0</v>
      </c>
      <c r="H10"/>
    </row>
    <row r="11" ht="12.75">
      <c r="H11"/>
    </row>
    <row r="12" ht="12.75">
      <c r="H12"/>
    </row>
    <row r="13" ht="12.75">
      <c r="H13"/>
    </row>
    <row r="14" ht="12.75">
      <c r="H14"/>
    </row>
    <row r="15" ht="12.75">
      <c r="H15"/>
    </row>
    <row r="16" ht="12.75">
      <c r="H16"/>
    </row>
    <row r="17" ht="12.75">
      <c r="H17"/>
    </row>
    <row r="18" ht="12.75">
      <c r="H18"/>
    </row>
    <row r="19" ht="12.75">
      <c r="H19"/>
    </row>
    <row r="20" ht="12.75">
      <c r="H20"/>
    </row>
    <row r="21" ht="12.75">
      <c r="H21"/>
    </row>
    <row r="22" ht="12.75">
      <c r="H22"/>
    </row>
    <row r="23" ht="12.75">
      <c r="H23"/>
    </row>
    <row r="24" ht="12.75">
      <c r="H24"/>
    </row>
    <row r="25" ht="12.75">
      <c r="H25"/>
    </row>
    <row r="26" ht="12.75">
      <c r="H26"/>
    </row>
    <row r="27" ht="12.75">
      <c r="H27"/>
    </row>
    <row r="28" ht="12.75">
      <c r="H28"/>
    </row>
    <row r="29" ht="12.75">
      <c r="H29"/>
    </row>
    <row r="30" ht="12.75">
      <c r="H30"/>
    </row>
    <row r="31" ht="12.75">
      <c r="H31"/>
    </row>
    <row r="32" ht="12.75">
      <c r="H32"/>
    </row>
    <row r="33" ht="12.75">
      <c r="H33"/>
    </row>
    <row r="34" ht="12.75">
      <c r="H34"/>
    </row>
    <row r="35" ht="12.75">
      <c r="H35"/>
    </row>
    <row r="36" ht="12.75">
      <c r="H36"/>
    </row>
    <row r="37" ht="12.75">
      <c r="H37"/>
    </row>
    <row r="38" ht="12.75">
      <c r="H38"/>
    </row>
    <row r="39" ht="12.75">
      <c r="H39"/>
    </row>
    <row r="40" ht="12.75">
      <c r="H40"/>
    </row>
    <row r="41" ht="12.75">
      <c r="H41"/>
    </row>
    <row r="42" ht="12.75">
      <c r="H42"/>
    </row>
    <row r="43" ht="12.75">
      <c r="H43"/>
    </row>
    <row r="44" ht="12.75">
      <c r="H44"/>
    </row>
    <row r="45" ht="12.75">
      <c r="H45"/>
    </row>
    <row r="46" ht="12.75">
      <c r="H46"/>
    </row>
    <row r="47" ht="12.75">
      <c r="H47"/>
    </row>
    <row r="48" ht="12.75">
      <c r="H48"/>
    </row>
    <row r="49" ht="12.75">
      <c r="H49"/>
    </row>
    <row r="50" ht="12.75">
      <c r="H50"/>
    </row>
    <row r="51" ht="12.75">
      <c r="H51"/>
    </row>
    <row r="52" ht="12.75">
      <c r="H52"/>
    </row>
    <row r="53" ht="12.75">
      <c r="H53"/>
    </row>
    <row r="54" ht="12.75">
      <c r="H54"/>
    </row>
    <row r="55" ht="12.75">
      <c r="H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row r="73" ht="12.75">
      <c r="H73"/>
    </row>
    <row r="74" ht="12.75">
      <c r="H74"/>
    </row>
    <row r="75" ht="12.75">
      <c r="H75"/>
    </row>
    <row r="76" ht="12.75">
      <c r="H76"/>
    </row>
    <row r="77" ht="12.75">
      <c r="H77"/>
    </row>
    <row r="78" ht="12.75">
      <c r="H78"/>
    </row>
    <row r="79" ht="12.75">
      <c r="H79"/>
    </row>
    <row r="80" ht="12.75">
      <c r="H80"/>
    </row>
    <row r="81" ht="12.75">
      <c r="H81"/>
    </row>
    <row r="82" ht="12.75">
      <c r="H82"/>
    </row>
    <row r="83" ht="12.75">
      <c r="H83"/>
    </row>
    <row r="84" ht="12.75">
      <c r="H84"/>
    </row>
    <row r="85" ht="12.75">
      <c r="H85"/>
    </row>
    <row r="86" ht="12.75">
      <c r="H86"/>
    </row>
    <row r="87" ht="12.75">
      <c r="H87"/>
    </row>
    <row r="88" ht="12.75">
      <c r="H88"/>
    </row>
    <row r="89" ht="12.75">
      <c r="H89"/>
    </row>
    <row r="90" ht="12.75">
      <c r="H90"/>
    </row>
    <row r="91" ht="12.75">
      <c r="H91"/>
    </row>
    <row r="92" ht="12.75">
      <c r="H92"/>
    </row>
    <row r="93" ht="12.75">
      <c r="H93"/>
    </row>
    <row r="94" ht="12.75">
      <c r="H94"/>
    </row>
    <row r="95" ht="12.75">
      <c r="H95"/>
    </row>
    <row r="96" ht="12.75">
      <c r="H96"/>
    </row>
    <row r="97" ht="12.75">
      <c r="H97"/>
    </row>
    <row r="98" ht="12.75">
      <c r="H98"/>
    </row>
    <row r="99" ht="12.75">
      <c r="H99"/>
    </row>
    <row r="100" ht="12.75">
      <c r="H100"/>
    </row>
    <row r="101" ht="12.75">
      <c r="H101"/>
    </row>
    <row r="102" ht="12.75">
      <c r="H102"/>
    </row>
    <row r="103" ht="12.75">
      <c r="H103"/>
    </row>
    <row r="104" ht="12.75">
      <c r="H104"/>
    </row>
    <row r="105" ht="12.75">
      <c r="H105"/>
    </row>
    <row r="106" ht="12.75">
      <c r="H106"/>
    </row>
    <row r="107" ht="12.75">
      <c r="H107"/>
    </row>
    <row r="108" ht="12.75">
      <c r="H108"/>
    </row>
    <row r="109" ht="12.75">
      <c r="H109"/>
    </row>
    <row r="110" ht="12.75">
      <c r="H110"/>
    </row>
    <row r="111" ht="12.75">
      <c r="H111"/>
    </row>
    <row r="112" ht="12.75">
      <c r="H112"/>
    </row>
    <row r="113" ht="12.75">
      <c r="H113"/>
    </row>
    <row r="114" ht="12.75">
      <c r="H114"/>
    </row>
    <row r="115" ht="12.75">
      <c r="H115"/>
    </row>
    <row r="116" ht="12.75">
      <c r="H116"/>
    </row>
    <row r="117" ht="12.75">
      <c r="H117"/>
    </row>
    <row r="118" ht="12.75">
      <c r="H118"/>
    </row>
    <row r="119" ht="12.75">
      <c r="H119"/>
    </row>
    <row r="120" ht="12.75">
      <c r="H120"/>
    </row>
    <row r="121" ht="12.75">
      <c r="H121"/>
    </row>
    <row r="122" ht="12.75">
      <c r="H122"/>
    </row>
    <row r="123" ht="12.75">
      <c r="H123"/>
    </row>
    <row r="124" ht="12.75">
      <c r="H124"/>
    </row>
    <row r="125" ht="12.75">
      <c r="H125"/>
    </row>
    <row r="126" ht="12.75">
      <c r="H126"/>
    </row>
    <row r="127" ht="12.75">
      <c r="H127"/>
    </row>
    <row r="128" ht="12.75">
      <c r="H128"/>
    </row>
    <row r="129" ht="12.75">
      <c r="H129"/>
    </row>
    <row r="130" ht="12.75">
      <c r="H130"/>
    </row>
    <row r="131" ht="12.75">
      <c r="H131"/>
    </row>
    <row r="132" ht="12.75">
      <c r="H132"/>
    </row>
    <row r="133" ht="12.75">
      <c r="H133"/>
    </row>
    <row r="134" ht="12.75">
      <c r="H134"/>
    </row>
    <row r="135" ht="12.75">
      <c r="H135"/>
    </row>
    <row r="136" ht="12.75">
      <c r="H136"/>
    </row>
    <row r="137" ht="12.75">
      <c r="H137"/>
    </row>
    <row r="138" ht="12.75">
      <c r="H138"/>
    </row>
    <row r="139" ht="12.75">
      <c r="H139"/>
    </row>
    <row r="140" ht="12.75">
      <c r="H140"/>
    </row>
    <row r="141" ht="12.75">
      <c r="H141"/>
    </row>
    <row r="142" ht="12.75">
      <c r="H142"/>
    </row>
    <row r="143" ht="12.75">
      <c r="H143"/>
    </row>
    <row r="144" ht="12.75">
      <c r="H144"/>
    </row>
    <row r="145" ht="12.75">
      <c r="H145"/>
    </row>
    <row r="146" ht="12.75">
      <c r="H146"/>
    </row>
    <row r="147" ht="12.75">
      <c r="H147"/>
    </row>
    <row r="148" ht="12.75">
      <c r="H148"/>
    </row>
    <row r="149" ht="12.75">
      <c r="H149"/>
    </row>
    <row r="150" ht="12.75">
      <c r="H150"/>
    </row>
    <row r="151" ht="12.75">
      <c r="H151"/>
    </row>
    <row r="152" ht="12.75">
      <c r="H152"/>
    </row>
    <row r="153" ht="12.75">
      <c r="H153"/>
    </row>
    <row r="154" ht="12.75">
      <c r="H154"/>
    </row>
    <row r="155" ht="12.75">
      <c r="H155"/>
    </row>
    <row r="156" ht="12.75">
      <c r="H156"/>
    </row>
    <row r="157" ht="12.75">
      <c r="H157"/>
    </row>
    <row r="158" ht="12.75">
      <c r="H158"/>
    </row>
    <row r="159" ht="12.75">
      <c r="H159"/>
    </row>
    <row r="160" ht="12.75">
      <c r="H160"/>
    </row>
    <row r="161" ht="12.75">
      <c r="H161"/>
    </row>
    <row r="162" ht="12.75">
      <c r="H162"/>
    </row>
    <row r="163" ht="12.75">
      <c r="H163"/>
    </row>
    <row r="164" ht="12.75">
      <c r="H164"/>
    </row>
    <row r="165" ht="12.75">
      <c r="H165"/>
    </row>
    <row r="166" ht="12.75">
      <c r="H166"/>
    </row>
    <row r="167" ht="12.75">
      <c r="H167"/>
    </row>
    <row r="168" ht="12.75">
      <c r="H168"/>
    </row>
    <row r="169" ht="12.75">
      <c r="H169"/>
    </row>
    <row r="170" ht="12.75">
      <c r="H170"/>
    </row>
    <row r="171" ht="12.75">
      <c r="H171"/>
    </row>
    <row r="172" ht="12.75">
      <c r="H172"/>
    </row>
    <row r="173" ht="12.75">
      <c r="H173"/>
    </row>
    <row r="174" ht="12.75">
      <c r="H174"/>
    </row>
    <row r="175" ht="12.75">
      <c r="H175"/>
    </row>
    <row r="176" ht="12.75">
      <c r="H176"/>
    </row>
    <row r="177" ht="12.75">
      <c r="H177"/>
    </row>
    <row r="178" ht="12.75">
      <c r="H178"/>
    </row>
    <row r="179" ht="12.75">
      <c r="H179"/>
    </row>
    <row r="180" ht="12.75">
      <c r="H180"/>
    </row>
    <row r="181" ht="12.75">
      <c r="H181"/>
    </row>
    <row r="182" ht="12.75">
      <c r="H182"/>
    </row>
    <row r="183" ht="12.75">
      <c r="H183"/>
    </row>
    <row r="184" ht="12.75">
      <c r="H184"/>
    </row>
    <row r="185" ht="12.75">
      <c r="H185"/>
    </row>
    <row r="186" ht="12.75">
      <c r="H186"/>
    </row>
    <row r="187" ht="12.75">
      <c r="H187"/>
    </row>
    <row r="188" ht="12.75">
      <c r="H188"/>
    </row>
    <row r="189" ht="12.75">
      <c r="H189"/>
    </row>
    <row r="190" ht="12.75">
      <c r="H190"/>
    </row>
    <row r="191" ht="12.75">
      <c r="H191"/>
    </row>
    <row r="192" ht="12.75">
      <c r="H192"/>
    </row>
    <row r="193" ht="12.75">
      <c r="H193"/>
    </row>
    <row r="194" ht="12.75">
      <c r="H194"/>
    </row>
    <row r="195" ht="12.75">
      <c r="H195"/>
    </row>
    <row r="196" ht="12.75">
      <c r="H196"/>
    </row>
    <row r="197" ht="12.75">
      <c r="H197"/>
    </row>
    <row r="198" ht="12.75">
      <c r="H198"/>
    </row>
    <row r="199" ht="12.75">
      <c r="H199"/>
    </row>
    <row r="200" ht="12.75">
      <c r="H200"/>
    </row>
  </sheetData>
  <sheetProtection sheet="1" objects="1" scenarios="1"/>
  <mergeCells count="2">
    <mergeCell ref="F3:G3"/>
    <mergeCell ref="H2:K2"/>
  </mergeCells>
  <printOptions/>
  <pageMargins left="0.75" right="0.75" top="1" bottom="1" header="0.5" footer="0.5"/>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7"/>
  <dimension ref="B1:AD51"/>
  <sheetViews>
    <sheetView showGridLines="0" showRowColHeaders="0" zoomScale="147" zoomScaleNormal="147" zoomScalePageLayoutView="0" workbookViewId="0" topLeftCell="A1">
      <selection activeCell="A1" sqref="A1"/>
    </sheetView>
  </sheetViews>
  <sheetFormatPr defaultColWidth="9.140625" defaultRowHeight="12.75"/>
  <cols>
    <col min="1" max="1" width="4.7109375" style="0" customWidth="1"/>
    <col min="4" max="4" width="13.7109375" style="96" customWidth="1"/>
    <col min="12" max="29" width="9.140625" style="49" customWidth="1"/>
    <col min="30" max="30" width="12.421875" style="49" bestFit="1" customWidth="1"/>
    <col min="31" max="33" width="9.140625" style="49" customWidth="1"/>
  </cols>
  <sheetData>
    <row r="1" spans="13:30" ht="12.75">
      <c r="M1" s="49" t="s">
        <v>94</v>
      </c>
      <c r="N1" s="49" t="s">
        <v>127</v>
      </c>
      <c r="O1" s="58" t="s">
        <v>12</v>
      </c>
      <c r="P1" s="58" t="s">
        <v>97</v>
      </c>
      <c r="Q1" s="58" t="s">
        <v>27</v>
      </c>
      <c r="R1" s="58" t="s">
        <v>25</v>
      </c>
      <c r="S1" s="58" t="s">
        <v>26</v>
      </c>
      <c r="T1" s="58" t="s">
        <v>23</v>
      </c>
      <c r="U1" s="58" t="s">
        <v>24</v>
      </c>
      <c r="V1" s="58" t="s">
        <v>99</v>
      </c>
      <c r="W1" s="58" t="s">
        <v>98</v>
      </c>
      <c r="X1" s="58" t="s">
        <v>100</v>
      </c>
      <c r="Y1" s="58" t="s">
        <v>20</v>
      </c>
      <c r="Z1" s="58" t="s">
        <v>13</v>
      </c>
      <c r="AA1" s="58" t="s">
        <v>19</v>
      </c>
      <c r="AB1" s="58" t="s">
        <v>21</v>
      </c>
      <c r="AC1" s="58" t="s">
        <v>22</v>
      </c>
      <c r="AD1" s="58" t="s">
        <v>1</v>
      </c>
    </row>
    <row r="2" spans="12:30" ht="12.75">
      <c r="L2" s="58" t="s">
        <v>89</v>
      </c>
      <c r="M2" s="49">
        <f>main!P1</f>
        <v>0</v>
      </c>
      <c r="N2" s="49">
        <f>H28</f>
        <v>4</v>
      </c>
      <c r="O2" s="49">
        <f>IF(main!C$24=0,main!C$27^2,IF(main!C$24=1,main!C$28^2,IF(main!C$24=2,(N2*main!C$27)^2,N2*main!C$27)))</f>
        <v>19.360000000000003</v>
      </c>
      <c r="P2" s="49">
        <f>O2/M$5</f>
        <v>0.7744000000000001</v>
      </c>
      <c r="Q2" s="49">
        <f>(M$11+P2)^2/(M$11^2/(M$4-1)+P2^2/(M$5-1))</f>
        <v>31.48829953198128</v>
      </c>
      <c r="R2" s="49">
        <f>M$4/(M$6+O2-2*M$7*SQRT(M$6*O2))</f>
        <v>0.24596615505706412</v>
      </c>
      <c r="S2" s="49">
        <f>(M$11+O2)^-1</f>
        <v>0.04132231404958677</v>
      </c>
      <c r="T2" s="49">
        <f>R2/(R2+S2)</f>
        <v>0.8561643835616438</v>
      </c>
      <c r="U2" s="49">
        <f>1-T2</f>
        <v>0.14383561643835618</v>
      </c>
      <c r="V2" s="49">
        <f>IF(main!J$18=4,U2^2,1)*P2</f>
        <v>0.7744000000000001</v>
      </c>
      <c r="W2" s="49">
        <f>IF(main!J$18=4,T2^2,0)*O2/M$4</f>
        <v>0</v>
      </c>
      <c r="X2" s="49">
        <f>IF(main!J$18=4,T2,1)*(-2*M$7*SQRT(M$6*O2)/M$4)</f>
        <v>-1.5488000000000002</v>
      </c>
      <c r="Y2" s="49">
        <f>SQRT(M$11+V2+W2+X2)</f>
        <v>2.0163333057805697</v>
      </c>
      <c r="Z2" s="49">
        <f>CHOOSE(main!J$18,M$4-1,Q2,Q2,(1/R2+1/S2)^2/(1/(R2^2*(M$4-1))+1/(S2^2*(Q2))))</f>
        <v>24</v>
      </c>
      <c r="AA2" s="49">
        <f>ABS(N2-M$9)/Y2</f>
        <v>2.975698503218078</v>
      </c>
      <c r="AB2" s="49">
        <f>M$8*(1-1/(4*Z2))^2-AA2</f>
        <v>-0.9545738949774565</v>
      </c>
      <c r="AC2" s="49">
        <f>SQRT(1+M$8^2/(2*Z2))</f>
        <v>1.04342861532727</v>
      </c>
      <c r="AD2" s="152">
        <f>1-NORMSDIST(AB2/AC2)</f>
        <v>0.8198631048158336</v>
      </c>
    </row>
    <row r="3" spans="12:30" ht="12.75">
      <c r="L3" s="58" t="s">
        <v>18</v>
      </c>
      <c r="M3" s="49">
        <f>main!P2</f>
        <v>2</v>
      </c>
      <c r="N3" s="49">
        <f>N2+M$10</f>
        <v>4.122448979591836</v>
      </c>
      <c r="O3" s="49">
        <f>IF(main!C$24=0,main!C$27^2,IF(main!C$24=1,main!C$28^2,IF(main!C$24=2,(N3*main!C$27)^2,N3*main!C$27)))</f>
        <v>20.563448563098707</v>
      </c>
      <c r="P3" s="49">
        <f aca="true" t="shared" si="0" ref="P3:P50">O3/M$5</f>
        <v>0.8225379425239483</v>
      </c>
      <c r="Q3" s="49">
        <f aca="true" t="shared" si="1" ref="Q3:Q51">(M$11+P3)^2/(M$11^2/(M$4-1)+P3^2/(M$5-1))</f>
        <v>31.92841579727477</v>
      </c>
      <c r="R3" s="49">
        <f aca="true" t="shared" si="2" ref="R3:R50">M$4/(M$6+O3-2*M$7*SQRT(M$6*O3))</f>
        <v>0.24592225865818426</v>
      </c>
      <c r="S3" s="49">
        <f aca="true" t="shared" si="3" ref="S3:S50">(M$11+O3)^-1</f>
        <v>0.039364734182295615</v>
      </c>
      <c r="T3" s="49">
        <f aca="true" t="shared" si="4" ref="T3:T50">R3/(R3+S3)</f>
        <v>0.862017073437671</v>
      </c>
      <c r="U3" s="49">
        <f aca="true" t="shared" si="5" ref="U3:U51">1-T3</f>
        <v>0.13798292656232902</v>
      </c>
      <c r="V3" s="49">
        <f>IF(main!J$18=4,U3^2,1)*P3</f>
        <v>0.8225379425239483</v>
      </c>
      <c r="W3" s="49">
        <f>IF(main!J$18=4,T3^2,0)*O3/M$4</f>
        <v>0</v>
      </c>
      <c r="X3" s="49">
        <f>IF(main!J$18=4,T3,1)*(-2*M$7*SQRT(M$6*O3)/M$4)</f>
        <v>-1.5962122448979594</v>
      </c>
      <c r="Y3" s="49">
        <f aca="true" t="shared" si="6" ref="Y3:Y51">SQRT(M$11+V3+W3+X3)</f>
        <v>2.016513252529224</v>
      </c>
      <c r="Z3" s="49">
        <f>MAX(CHOOSE(main!J$18,M$4-1,Q3,Q3,(1/R3+1/S3)^2/(1/(R3^2*(M$4-1))+1/(S3^2*(Q3)))),2)</f>
        <v>24</v>
      </c>
      <c r="AA3" s="49">
        <f aca="true" t="shared" si="7" ref="AA3:AA50">ABS(N3-M$9)/Y3</f>
        <v>2.9147098403822587</v>
      </c>
      <c r="AB3" s="49">
        <f aca="true" t="shared" si="8" ref="AB3:AB50">M$8*(1-1/(4*Z3))^2-AA3</f>
        <v>-0.8935852321416373</v>
      </c>
      <c r="AC3" s="49">
        <f aca="true" t="shared" si="9" ref="AC3:AC51">SQRT(1+M$8^2/(2*Z3))</f>
        <v>1.04342861532727</v>
      </c>
      <c r="AD3" s="152">
        <f aca="true" t="shared" si="10" ref="AD3:AD50">1-NORMSDIST(AB3/AC3)</f>
        <v>0.8041098538857419</v>
      </c>
    </row>
    <row r="4" spans="2:30" ht="12.75">
      <c r="B4" s="193" t="s">
        <v>106</v>
      </c>
      <c r="C4" s="194"/>
      <c r="D4" s="194"/>
      <c r="E4" s="123"/>
      <c r="L4" s="58" t="s">
        <v>9</v>
      </c>
      <c r="M4" s="49">
        <f>main!P3</f>
        <v>25</v>
      </c>
      <c r="N4" s="49">
        <f aca="true" t="shared" si="11" ref="N4:N50">N3+M$10</f>
        <v>4.244897959183673</v>
      </c>
      <c r="O4" s="49">
        <f>IF(main!C$24=0,main!C$27^2,IF(main!C$24=1,main!C$28^2,IF(main!C$24=2,(N4*main!C$27)^2,N4*main!C$27)))</f>
        <v>21.803182007496876</v>
      </c>
      <c r="P4" s="49">
        <f t="shared" si="0"/>
        <v>0.8721272802998751</v>
      </c>
      <c r="Q4" s="49">
        <f t="shared" si="1"/>
        <v>32.37719689551743</v>
      </c>
      <c r="R4" s="49">
        <f t="shared" si="2"/>
        <v>0.24579066341899503</v>
      </c>
      <c r="S4" s="49">
        <f t="shared" si="3"/>
        <v>0.03753305441214264</v>
      </c>
      <c r="T4" s="49">
        <f t="shared" si="4"/>
        <v>0.8675259004101007</v>
      </c>
      <c r="U4" s="49">
        <f t="shared" si="5"/>
        <v>0.1324740995898993</v>
      </c>
      <c r="V4" s="49">
        <f>IF(main!J$18=4,U4^2,1)*P4</f>
        <v>0.8721272802998751</v>
      </c>
      <c r="W4" s="49">
        <f>IF(main!J$18=4,T4^2,0)*O4/M$4</f>
        <v>0</v>
      </c>
      <c r="X4" s="49">
        <f>IF(main!J$18=4,T4,1)*(-2*M$7*SQRT(M$6*O4)/M$4)</f>
        <v>-1.6436244897959185</v>
      </c>
      <c r="Y4" s="49">
        <f t="shared" si="6"/>
        <v>2.017052996453974</v>
      </c>
      <c r="Z4" s="49">
        <f>MAX(CHOOSE(main!J$18,M$4-1,Q4,Q4,(1/R4+1/S4)^2/(1/(R4^2*(M$4-1))+1/(S4^2*(Q4)))),2)</f>
        <v>24</v>
      </c>
      <c r="AA4" s="49">
        <f t="shared" si="7"/>
        <v>2.853223019392118</v>
      </c>
      <c r="AB4" s="49">
        <f t="shared" si="8"/>
        <v>-0.8320984111514966</v>
      </c>
      <c r="AC4" s="49">
        <f t="shared" si="9"/>
        <v>1.04342861532727</v>
      </c>
      <c r="AD4" s="152">
        <f t="shared" si="10"/>
        <v>0.7874096587848335</v>
      </c>
    </row>
    <row r="5" spans="2:30" ht="12.75">
      <c r="B5" s="194"/>
      <c r="C5" s="194"/>
      <c r="D5" s="194"/>
      <c r="E5" s="123"/>
      <c r="L5" s="58" t="s">
        <v>10</v>
      </c>
      <c r="M5" s="49">
        <f>main!P4</f>
        <v>25</v>
      </c>
      <c r="N5" s="49">
        <f t="shared" si="11"/>
        <v>4.367346938775509</v>
      </c>
      <c r="O5" s="49">
        <f>IF(main!C$24=0,main!C$27^2,IF(main!C$24=1,main!C$28^2,IF(main!C$24=2,(N5*main!C$27)^2,N5*main!C$27)))</f>
        <v>23.079200333194496</v>
      </c>
      <c r="P5" s="49">
        <f t="shared" si="0"/>
        <v>0.9231680133277799</v>
      </c>
      <c r="Q5" s="49">
        <f t="shared" si="1"/>
        <v>32.833998415544485</v>
      </c>
      <c r="R5" s="49">
        <f t="shared" si="2"/>
        <v>0.24557165070952106</v>
      </c>
      <c r="S5" s="49">
        <f t="shared" si="3"/>
        <v>0.03581764477727721</v>
      </c>
      <c r="T5" s="49">
        <f t="shared" si="4"/>
        <v>0.8727114167036335</v>
      </c>
      <c r="U5" s="49">
        <f t="shared" si="5"/>
        <v>0.1272885832963665</v>
      </c>
      <c r="V5" s="49">
        <f>IF(main!J$18=4,U5^2,1)*P5</f>
        <v>0.9231680133277799</v>
      </c>
      <c r="W5" s="49">
        <f>IF(main!J$18=4,T5^2,0)*O5/M$4</f>
        <v>0</v>
      </c>
      <c r="X5" s="49">
        <f>IF(main!J$18=4,T5,1)*(-2*M$7*SQRT(M$6*O5)/M$4)</f>
        <v>-1.6910367346938775</v>
      </c>
      <c r="Y5" s="49">
        <f t="shared" si="6"/>
        <v>2.0179522488487933</v>
      </c>
      <c r="Z5" s="49">
        <f>MAX(CHOOSE(main!J$18,M$4-1,Q5,Q5,(1/R5+1/S5)^2/(1/(R5^2*(M$4-1))+1/(S5^2*(Q5)))),2)</f>
        <v>24</v>
      </c>
      <c r="AA5" s="49">
        <f t="shared" si="7"/>
        <v>2.791271728276931</v>
      </c>
      <c r="AB5" s="49">
        <f t="shared" si="8"/>
        <v>-0.7701471200363095</v>
      </c>
      <c r="AC5" s="49">
        <f t="shared" si="9"/>
        <v>1.04342861532727</v>
      </c>
      <c r="AD5" s="152">
        <f t="shared" si="10"/>
        <v>0.7697709624122521</v>
      </c>
    </row>
    <row r="6" spans="2:30" ht="13.5" thickBot="1">
      <c r="B6" s="195"/>
      <c r="C6" s="195"/>
      <c r="D6" s="195"/>
      <c r="E6" s="123"/>
      <c r="L6" s="58" t="s">
        <v>11</v>
      </c>
      <c r="M6" s="49">
        <f>main!P5</f>
        <v>121</v>
      </c>
      <c r="N6" s="49">
        <f t="shared" si="11"/>
        <v>4.489795918367346</v>
      </c>
      <c r="O6" s="49">
        <f>IF(main!C$24=0,main!C$27^2,IF(main!C$24=1,main!C$28^2,IF(main!C$24=2,(N6*main!C$27)^2,N6*main!C$27)))</f>
        <v>24.391503540191575</v>
      </c>
      <c r="P6" s="49">
        <f t="shared" si="0"/>
        <v>0.975660141607663</v>
      </c>
      <c r="Q6" s="49">
        <f t="shared" si="1"/>
        <v>33.29813335662587</v>
      </c>
      <c r="R6" s="49">
        <f t="shared" si="2"/>
        <v>0.2452656878103873</v>
      </c>
      <c r="S6" s="49">
        <f t="shared" si="3"/>
        <v>0.03420966693092128</v>
      </c>
      <c r="T6" s="49">
        <f t="shared" si="4"/>
        <v>0.8775932605485487</v>
      </c>
      <c r="U6" s="49">
        <f t="shared" si="5"/>
        <v>0.12240673945145131</v>
      </c>
      <c r="V6" s="49">
        <f>IF(main!J$18=4,U6^2,1)*P6</f>
        <v>0.975660141607663</v>
      </c>
      <c r="W6" s="49">
        <f>IF(main!J$18=4,T6^2,0)*O6/M$4</f>
        <v>0</v>
      </c>
      <c r="X6" s="49">
        <f>IF(main!J$18=4,T6,1)*(-2*M$7*SQRT(M$6*O6)/M$4)</f>
        <v>-1.7384489795918363</v>
      </c>
      <c r="Y6" s="49">
        <f t="shared" si="6"/>
        <v>2.0192105293940568</v>
      </c>
      <c r="Z6" s="49">
        <f>MAX(CHOOSE(main!J$18,M$4-1,Q6,Q6,(1/R6+1/S6)^2/(1/(R6^2*(M$4-1))+1/(S6^2*(Q6)))),2)</f>
        <v>24</v>
      </c>
      <c r="AA6" s="49">
        <f t="shared" si="7"/>
        <v>2.728890326897318</v>
      </c>
      <c r="AB6" s="49">
        <f t="shared" si="8"/>
        <v>-0.7077657186566966</v>
      </c>
      <c r="AC6" s="49">
        <f t="shared" si="9"/>
        <v>1.04342861532727</v>
      </c>
      <c r="AD6" s="152">
        <f t="shared" si="10"/>
        <v>0.7512117077829334</v>
      </c>
    </row>
    <row r="7" spans="2:30" ht="12.75">
      <c r="B7" s="122"/>
      <c r="C7" s="124" t="s">
        <v>0</v>
      </c>
      <c r="D7" s="131">
        <f>main!C3</f>
        <v>0.05</v>
      </c>
      <c r="L7" s="58" t="s">
        <v>7</v>
      </c>
      <c r="M7" s="49">
        <f>main!P8</f>
        <v>0.4</v>
      </c>
      <c r="N7" s="49">
        <f t="shared" si="11"/>
        <v>4.612244897959182</v>
      </c>
      <c r="O7" s="49">
        <f>IF(main!C$24=0,main!C$27^2,IF(main!C$24=1,main!C$28^2,IF(main!C$24=2,(N7*main!C$27)^2,N7*main!C$27)))</f>
        <v>25.74009162848812</v>
      </c>
      <c r="P7" s="49">
        <f t="shared" si="0"/>
        <v>1.0296036651395248</v>
      </c>
      <c r="Q7" s="49">
        <f t="shared" si="1"/>
        <v>33.76887255201319</v>
      </c>
      <c r="R7" s="49">
        <f t="shared" si="2"/>
        <v>0.24487342542613894</v>
      </c>
      <c r="S7" s="49">
        <f t="shared" si="3"/>
        <v>0.03270101385400721</v>
      </c>
      <c r="T7" s="49">
        <f t="shared" si="4"/>
        <v>0.8821901110966374</v>
      </c>
      <c r="U7" s="49">
        <f t="shared" si="5"/>
        <v>0.11780988890336264</v>
      </c>
      <c r="V7" s="49">
        <f>IF(main!J$18=4,U7^2,1)*P7</f>
        <v>1.0296036651395248</v>
      </c>
      <c r="W7" s="49">
        <f>IF(main!J$18=4,T7^2,0)*O7/M$4</f>
        <v>0</v>
      </c>
      <c r="X7" s="49">
        <f>IF(main!J$18=4,T7,1)*(-2*M$7*SQRT(M$6*O7)/M$4)</f>
        <v>-1.7858612244897958</v>
      </c>
      <c r="Y7" s="49">
        <f t="shared" si="6"/>
        <v>2.0208271674365745</v>
      </c>
      <c r="Z7" s="49">
        <f>MAX(CHOOSE(main!J$18,M$4-1,Q7,Q7,(1/R7+1/S7)^2/(1/(R7^2*(M$4-1))+1/(S7^2*(Q7)))),2)</f>
        <v>24</v>
      </c>
      <c r="AA7" s="49">
        <f t="shared" si="7"/>
        <v>2.666113752258785</v>
      </c>
      <c r="AB7" s="49">
        <f t="shared" si="8"/>
        <v>-0.6449891440181639</v>
      </c>
      <c r="AC7" s="49">
        <f t="shared" si="9"/>
        <v>1.04342861532727</v>
      </c>
      <c r="AD7" s="152">
        <f t="shared" si="10"/>
        <v>0.7317597916940194</v>
      </c>
    </row>
    <row r="8" spans="2:30" ht="12.75">
      <c r="B8" s="116"/>
      <c r="C8" s="125" t="s">
        <v>101</v>
      </c>
      <c r="D8" s="132" t="str">
        <f>main!B5</f>
        <v>two-sided</v>
      </c>
      <c r="L8" s="58" t="s">
        <v>17</v>
      </c>
      <c r="M8" s="49">
        <f>main!P19</f>
        <v>2.063898547318068</v>
      </c>
      <c r="N8" s="49">
        <f t="shared" si="11"/>
        <v>4.734693877551019</v>
      </c>
      <c r="O8" s="49">
        <f>IF(main!C$24=0,main!C$27^2,IF(main!C$24=1,main!C$28^2,IF(main!C$24=2,(N8*main!C$27)^2,N8*main!C$27)))</f>
        <v>27.124964598084116</v>
      </c>
      <c r="P8" s="49">
        <f t="shared" si="0"/>
        <v>1.0849985839233647</v>
      </c>
      <c r="Q8" s="49">
        <f t="shared" si="1"/>
        <v>34.245445492545855</v>
      </c>
      <c r="R8" s="49">
        <f t="shared" si="2"/>
        <v>0.2443956942384911</v>
      </c>
      <c r="S8" s="49">
        <f t="shared" si="3"/>
        <v>0.03128425176043952</v>
      </c>
      <c r="T8" s="49">
        <f t="shared" si="4"/>
        <v>0.886519668135161</v>
      </c>
      <c r="U8" s="49">
        <f t="shared" si="5"/>
        <v>0.11348033186483897</v>
      </c>
      <c r="V8" s="49">
        <f>IF(main!J$18=4,U8^2,1)*P8</f>
        <v>1.0849985839233647</v>
      </c>
      <c r="W8" s="49">
        <f>IF(main!J$18=4,T8^2,0)*O8/M$4</f>
        <v>0</v>
      </c>
      <c r="X8" s="49">
        <f>IF(main!J$18=4,T8,1)*(-2*M$7*SQRT(M$6*O8)/M$4)</f>
        <v>-1.8332734693877546</v>
      </c>
      <c r="Y8" s="49">
        <f t="shared" si="6"/>
        <v>2.022801303770494</v>
      </c>
      <c r="Z8" s="49">
        <f>MAX(CHOOSE(main!J$18,M$4-1,Q8,Q8,(1/R8+1/S8)^2/(1/(R8^2*(M$4-1))+1/(S8^2*(Q8)))),2)</f>
        <v>24</v>
      </c>
      <c r="AA8" s="49">
        <f t="shared" si="7"/>
        <v>2.602977421773691</v>
      </c>
      <c r="AB8" s="49">
        <f t="shared" si="8"/>
        <v>-0.5818528135330698</v>
      </c>
      <c r="AC8" s="49">
        <f t="shared" si="9"/>
        <v>1.04342861532727</v>
      </c>
      <c r="AD8" s="152">
        <f t="shared" si="10"/>
        <v>0.7114533371291675</v>
      </c>
    </row>
    <row r="9" spans="3:30" ht="12.75">
      <c r="C9" t="s">
        <v>107</v>
      </c>
      <c r="D9" s="132" t="str">
        <f>main!B10</f>
        <v>Decrease</v>
      </c>
      <c r="L9" s="58" t="s">
        <v>33</v>
      </c>
      <c r="M9" s="49">
        <f>main!C12</f>
        <v>10</v>
      </c>
      <c r="N9" s="49">
        <f t="shared" si="11"/>
        <v>4.857142857142855</v>
      </c>
      <c r="O9" s="49">
        <f>IF(main!C$24=0,main!C$27^2,IF(main!C$24=1,main!C$28^2,IF(main!C$24=2,(N9*main!C$27)^2,N9*main!C$27)))</f>
        <v>28.54612244897957</v>
      </c>
      <c r="P9" s="49">
        <f t="shared" si="0"/>
        <v>1.1418448979591829</v>
      </c>
      <c r="Q9" s="49">
        <f t="shared" si="1"/>
        <v>34.72704157318834</v>
      </c>
      <c r="R9" s="49">
        <f t="shared" si="2"/>
        <v>0.24383350053344802</v>
      </c>
      <c r="S9" s="49">
        <f t="shared" si="3"/>
        <v>0.029952564917599903</v>
      </c>
      <c r="T9" s="49">
        <f t="shared" si="4"/>
        <v>0.8905986509274872</v>
      </c>
      <c r="U9" s="49">
        <f t="shared" si="5"/>
        <v>0.10940134907251275</v>
      </c>
      <c r="V9" s="49">
        <f>IF(main!J$18=4,U9^2,1)*P9</f>
        <v>1.1418448979591829</v>
      </c>
      <c r="W9" s="49">
        <f>IF(main!J$18=4,T9^2,0)*O9/M$4</f>
        <v>0</v>
      </c>
      <c r="X9" s="49">
        <f>IF(main!J$18=4,T9,1)*(-2*M$7*SQRT(M$6*O9)/M$4)</f>
        <v>-1.8806857142857138</v>
      </c>
      <c r="Y9" s="49">
        <f t="shared" si="6"/>
        <v>2.0251318929080817</v>
      </c>
      <c r="Z9" s="49">
        <f>MAX(CHOOSE(main!J$18,M$4-1,Q9,Q9,(1/R9+1/S9)^2/(1/(R9^2*(M$4-1))+1/(S9^2*(Q9)))),2)</f>
        <v>24</v>
      </c>
      <c r="AA9" s="49">
        <f t="shared" si="7"/>
        <v>2.5395171350899135</v>
      </c>
      <c r="AB9" s="49">
        <f t="shared" si="8"/>
        <v>-0.5183925268492922</v>
      </c>
      <c r="AC9" s="49">
        <f t="shared" si="9"/>
        <v>1.04342861532727</v>
      </c>
      <c r="AD9" s="152">
        <f t="shared" si="10"/>
        <v>0.6903407619865729</v>
      </c>
    </row>
    <row r="10" spans="2:30" ht="12.75">
      <c r="B10" s="116"/>
      <c r="C10" s="125" t="s">
        <v>102</v>
      </c>
      <c r="D10" s="132">
        <f>main!C12</f>
        <v>10</v>
      </c>
      <c r="L10" s="58" t="s">
        <v>95</v>
      </c>
      <c r="M10" s="49">
        <f>(I28-H28)/49</f>
        <v>0.12244897959183673</v>
      </c>
      <c r="N10" s="49">
        <f t="shared" si="11"/>
        <v>4.979591836734691</v>
      </c>
      <c r="O10" s="49">
        <f>IF(main!C$24=0,main!C$27^2,IF(main!C$24=1,main!C$28^2,IF(main!C$24=2,(N10*main!C$27)^2,N10*main!C$27)))</f>
        <v>30.00356518117448</v>
      </c>
      <c r="P10" s="49">
        <f t="shared" si="0"/>
        <v>1.2001426072469792</v>
      </c>
      <c r="Q10" s="49">
        <f t="shared" si="1"/>
        <v>35.212811780928654</v>
      </c>
      <c r="R10" s="49">
        <f t="shared" si="2"/>
        <v>0.24318802094500133</v>
      </c>
      <c r="S10" s="49">
        <f t="shared" si="3"/>
        <v>0.028699703798975393</v>
      </c>
      <c r="T10" s="49">
        <f t="shared" si="4"/>
        <v>0.8944428115465659</v>
      </c>
      <c r="U10" s="49">
        <f t="shared" si="5"/>
        <v>0.10555718845343409</v>
      </c>
      <c r="V10" s="49">
        <f>IF(main!J$18=4,U10^2,1)*P10</f>
        <v>1.2001426072469792</v>
      </c>
      <c r="W10" s="49">
        <f>IF(main!J$18=4,T10^2,0)*O10/M$4</f>
        <v>0</v>
      </c>
      <c r="X10" s="49">
        <f>IF(main!J$18=4,T10,1)*(-2*M$7*SQRT(M$6*O10)/M$4)</f>
        <v>-1.9280979591836727</v>
      </c>
      <c r="Y10" s="49">
        <f t="shared" si="6"/>
        <v>2.027817705826465</v>
      </c>
      <c r="Z10" s="49">
        <f>MAX(CHOOSE(main!J$18,M$4-1,Q10,Q10,(1/R10+1/S10)^2/(1/(R10^2*(M$4-1))+1/(S10^2*(Q10)))),2)</f>
        <v>24</v>
      </c>
      <c r="AA10" s="49">
        <f t="shared" si="7"/>
        <v>2.4757689751106953</v>
      </c>
      <c r="AB10" s="49">
        <f t="shared" si="8"/>
        <v>-0.4546443668700739</v>
      </c>
      <c r="AC10" s="49">
        <f t="shared" si="9"/>
        <v>1.04342861532727</v>
      </c>
      <c r="AD10" s="152">
        <f t="shared" si="10"/>
        <v>0.6684806273794253</v>
      </c>
    </row>
    <row r="11" spans="2:30" ht="12.75">
      <c r="B11" s="117"/>
      <c r="C11" s="126"/>
      <c r="D11" s="191" t="str">
        <f>main!B22</f>
        <v>SDs proportional to mean</v>
      </c>
      <c r="L11" s="58" t="s">
        <v>96</v>
      </c>
      <c r="M11" s="49">
        <f>M6/M4</f>
        <v>4.84</v>
      </c>
      <c r="N11" s="49">
        <f t="shared" si="11"/>
        <v>5.102040816326528</v>
      </c>
      <c r="O11" s="49">
        <f>IF(main!C$24=0,main!C$27^2,IF(main!C$24=1,main!C$28^2,IF(main!C$24=2,(N11*main!C$27)^2,N11*main!C$27)))</f>
        <v>31.497292794668862</v>
      </c>
      <c r="P11" s="49">
        <f t="shared" si="0"/>
        <v>1.2598917117867545</v>
      </c>
      <c r="Q11" s="49">
        <f t="shared" si="1"/>
        <v>35.70187083720931</v>
      </c>
      <c r="R11" s="49">
        <f t="shared" si="2"/>
        <v>0.24246059636622158</v>
      </c>
      <c r="S11" s="49">
        <f t="shared" si="3"/>
        <v>0.02751993676718571</v>
      </c>
      <c r="T11" s="49">
        <f t="shared" si="4"/>
        <v>0.8980669589477879</v>
      </c>
      <c r="U11" s="49">
        <f t="shared" si="5"/>
        <v>0.10193304105221213</v>
      </c>
      <c r="V11" s="49">
        <f>IF(main!J$18=4,U11^2,1)*P11</f>
        <v>1.2598917117867545</v>
      </c>
      <c r="W11" s="49">
        <f>IF(main!J$18=4,T11^2,0)*O11/M$4</f>
        <v>0</v>
      </c>
      <c r="X11" s="49">
        <f>IF(main!J$18=4,T11,1)*(-2*M$7*SQRT(M$6*O11)/M$4)</f>
        <v>-1.975510204081632</v>
      </c>
      <c r="Y11" s="49">
        <f t="shared" si="6"/>
        <v>2.0308573331736333</v>
      </c>
      <c r="Z11" s="49">
        <f>MAX(CHOOSE(main!J$18,M$4-1,Q11,Q11,(1/R11+1/S11)^2/(1/(R11^2*(M$4-1))+1/(S11^2*(Q11)))),2)</f>
        <v>24</v>
      </c>
      <c r="AA11" s="49">
        <f t="shared" si="7"/>
        <v>2.4117692088293574</v>
      </c>
      <c r="AB11" s="49">
        <f t="shared" si="8"/>
        <v>-0.39064460058873607</v>
      </c>
      <c r="AC11" s="49">
        <f t="shared" si="9"/>
        <v>1.04342861532727</v>
      </c>
      <c r="AD11" s="152">
        <f t="shared" si="10"/>
        <v>0.6459412556220943</v>
      </c>
    </row>
    <row r="12" spans="2:30" ht="12.75">
      <c r="B12" s="118"/>
      <c r="C12" s="127" t="s">
        <v>103</v>
      </c>
      <c r="D12" s="191"/>
      <c r="L12" s="58" t="s">
        <v>111</v>
      </c>
      <c r="M12" s="153">
        <f>MAX(ROUND((MIN(AD23:AD52)-0.05)*10,0)/10,0)</f>
        <v>0</v>
      </c>
      <c r="N12" s="49">
        <f t="shared" si="11"/>
        <v>5.224489795918364</v>
      </c>
      <c r="O12" s="49">
        <f>IF(main!C$24=0,main!C$27^2,IF(main!C$24=1,main!C$28^2,IF(main!C$24=2,(N12*main!C$27)^2,N12*main!C$27)))</f>
        <v>33.02730528946269</v>
      </c>
      <c r="P12" s="49">
        <f t="shared" si="0"/>
        <v>1.3210922115785075</v>
      </c>
      <c r="Q12" s="49">
        <f t="shared" si="1"/>
        <v>36.19329980202247</v>
      </c>
      <c r="R12" s="49">
        <f t="shared" si="2"/>
        <v>0.24165272508587587</v>
      </c>
      <c r="S12" s="49">
        <f t="shared" si="3"/>
        <v>0.026408005332195353</v>
      </c>
      <c r="T12" s="49">
        <f t="shared" si="4"/>
        <v>0.9014849907667973</v>
      </c>
      <c r="U12" s="49">
        <f t="shared" si="5"/>
        <v>0.09851500923320267</v>
      </c>
      <c r="V12" s="49">
        <f>IF(main!J$18=4,U12^2,1)*P12</f>
        <v>1.3210922115785075</v>
      </c>
      <c r="W12" s="49">
        <f>IF(main!J$18=4,T12^2,0)*O12/M$4</f>
        <v>0</v>
      </c>
      <c r="X12" s="49">
        <f>IF(main!J$18=4,T12,1)*(-2*M$7*SQRT(M$6*O12)/M$4)</f>
        <v>-2.022922448979591</v>
      </c>
      <c r="Y12" s="49">
        <f t="shared" si="6"/>
        <v>2.0342491889144054</v>
      </c>
      <c r="Z12" s="49">
        <f>MAX(CHOOSE(main!J$18,M$4-1,Q12,Q12,(1/R12+1/S12)^2/(1/(R12^2*(M$4-1))+1/(S12^2*(Q12)))),2)</f>
        <v>24</v>
      </c>
      <c r="AA12" s="49">
        <f t="shared" si="7"/>
        <v>2.347554188594824</v>
      </c>
      <c r="AB12" s="49">
        <f t="shared" si="8"/>
        <v>-0.32642958035420255</v>
      </c>
      <c r="AC12" s="49">
        <f t="shared" si="9"/>
        <v>1.04342861532727</v>
      </c>
      <c r="AD12" s="152">
        <f t="shared" si="10"/>
        <v>0.622800115806599</v>
      </c>
    </row>
    <row r="13" spans="2:30" ht="12.75">
      <c r="B13" s="119"/>
      <c r="C13" s="128"/>
      <c r="D13" s="192"/>
      <c r="L13" s="58" t="s">
        <v>112</v>
      </c>
      <c r="M13" s="153">
        <f>MIN(ROUND((M14+0.05)*10,0)/10,1)</f>
        <v>0.9</v>
      </c>
      <c r="N13" s="49">
        <f t="shared" si="11"/>
        <v>5.346938775510201</v>
      </c>
      <c r="O13" s="49">
        <f>IF(main!C$24=0,main!C$27^2,IF(main!C$24=1,main!C$28^2,IF(main!C$24=2,(N13*main!C$27)^2,N13*main!C$27)))</f>
        <v>34.59360266555598</v>
      </c>
      <c r="P13" s="49">
        <f t="shared" si="0"/>
        <v>1.3837441066222391</v>
      </c>
      <c r="Q13" s="49">
        <f t="shared" si="1"/>
        <v>36.686149140054525</v>
      </c>
      <c r="R13" s="49">
        <f t="shared" si="2"/>
        <v>0.24076605521514718</v>
      </c>
      <c r="S13" s="49">
        <f t="shared" si="3"/>
        <v>0.025359082924306806</v>
      </c>
      <c r="T13" s="49">
        <f t="shared" si="4"/>
        <v>0.904709930442504</v>
      </c>
      <c r="U13" s="49">
        <f t="shared" si="5"/>
        <v>0.09529006955749597</v>
      </c>
      <c r="V13" s="49">
        <f>IF(main!J$18=4,U13^2,1)*P13</f>
        <v>1.3837441066222391</v>
      </c>
      <c r="W13" s="49">
        <f>IF(main!J$18=4,T13^2,0)*O13/M$4</f>
        <v>0</v>
      </c>
      <c r="X13" s="49">
        <f>IF(main!J$18=4,T13,1)*(-2*M$7*SQRT(M$6*O13)/M$4)</f>
        <v>-2.07033469387755</v>
      </c>
      <c r="Y13" s="49">
        <f t="shared" si="6"/>
        <v>2.037991514394672</v>
      </c>
      <c r="Z13" s="49">
        <f>MAX(CHOOSE(main!J$18,M$4-1,Q13,Q13,(1/R13+1/S13)^2/(1/(R13^2*(M$4-1))+1/(S13^2*(Q13)))),2)</f>
        <v>24</v>
      </c>
      <c r="AA13" s="49">
        <f t="shared" si="7"/>
        <v>2.283160254409528</v>
      </c>
      <c r="AB13" s="49">
        <f t="shared" si="8"/>
        <v>-0.26203564616890684</v>
      </c>
      <c r="AC13" s="49">
        <f t="shared" si="9"/>
        <v>1.04342861532727</v>
      </c>
      <c r="AD13" s="152">
        <f t="shared" si="10"/>
        <v>0.5991429832379843</v>
      </c>
    </row>
    <row r="14" spans="2:30" ht="12.75">
      <c r="B14" s="116"/>
      <c r="C14" s="125" t="str">
        <f>main!B27</f>
        <v>ratio of SD/mean:</v>
      </c>
      <c r="D14" s="132">
        <f>main!C27</f>
        <v>1.1</v>
      </c>
      <c r="M14" s="152">
        <f>MAX(AD3:AD52)</f>
        <v>0.8041098538857419</v>
      </c>
      <c r="N14" s="49">
        <f t="shared" si="11"/>
        <v>5.469387755102037</v>
      </c>
      <c r="O14" s="49">
        <f>IF(main!C$24=0,main!C$27^2,IF(main!C$24=1,main!C$28^2,IF(main!C$24=2,(N14*main!C$27)^2,N14*main!C$27)))</f>
        <v>36.19618492294873</v>
      </c>
      <c r="P14" s="49">
        <f t="shared" si="0"/>
        <v>1.4478473969179493</v>
      </c>
      <c r="Q14" s="49">
        <f t="shared" si="1"/>
        <v>37.179442241904646</v>
      </c>
      <c r="R14" s="49">
        <f t="shared" si="2"/>
        <v>0.23980237647451</v>
      </c>
      <c r="S14" s="49">
        <f t="shared" si="3"/>
        <v>0.02436873705188828</v>
      </c>
      <c r="T14" s="49">
        <f t="shared" si="4"/>
        <v>0.9077539677726606</v>
      </c>
      <c r="U14" s="49">
        <f t="shared" si="5"/>
        <v>0.0922460322273394</v>
      </c>
      <c r="V14" s="49">
        <f>IF(main!J$18=4,U14^2,1)*P14</f>
        <v>1.4478473969179493</v>
      </c>
      <c r="W14" s="49">
        <f>IF(main!J$18=4,T14^2,0)*O14/M$4</f>
        <v>0</v>
      </c>
      <c r="X14" s="49">
        <f>IF(main!J$18=4,T14,1)*(-2*M$7*SQRT(M$6*O14)/M$4)</f>
        <v>-2.1177469387755092</v>
      </c>
      <c r="Y14" s="49">
        <f t="shared" si="6"/>
        <v>2.042082382800077</v>
      </c>
      <c r="Z14" s="49">
        <f>MAX(CHOOSE(main!J$18,M$4-1,Q14,Q14,(1/R14+1/S14)^2/(1/(R14^2*(M$4-1))+1/(S14^2*(Q14)))),2)</f>
        <v>24</v>
      </c>
      <c r="AA14" s="49">
        <f t="shared" si="7"/>
        <v>2.218623637840529</v>
      </c>
      <c r="AB14" s="49">
        <f t="shared" si="8"/>
        <v>-0.1974990295999075</v>
      </c>
      <c r="AC14" s="49">
        <f t="shared" si="9"/>
        <v>1.04342861532727</v>
      </c>
      <c r="AD14" s="152">
        <f t="shared" si="10"/>
        <v>0.5750628875212387</v>
      </c>
    </row>
    <row r="15" spans="2:30" ht="12.75">
      <c r="B15" s="117"/>
      <c r="C15" s="126"/>
      <c r="D15" s="191" t="str">
        <f>main!G16</f>
        <v>paired sampling</v>
      </c>
      <c r="N15" s="49">
        <f t="shared" si="11"/>
        <v>5.5918367346938735</v>
      </c>
      <c r="O15" s="49">
        <f>IF(main!C$24=0,main!C$27^2,IF(main!C$24=1,main!C$28^2,IF(main!C$24=2,(N15*main!C$27)^2,N15*main!C$27)))</f>
        <v>37.83505206164094</v>
      </c>
      <c r="P15" s="49">
        <f t="shared" si="0"/>
        <v>1.5134020824656376</v>
      </c>
      <c r="Q15" s="49">
        <f t="shared" si="1"/>
        <v>37.67217938556258</v>
      </c>
      <c r="R15" s="49">
        <f t="shared" si="2"/>
        <v>0.23876361141527536</v>
      </c>
      <c r="S15" s="49">
        <f t="shared" si="3"/>
        <v>0.023432894670065648</v>
      </c>
      <c r="T15" s="49">
        <f t="shared" si="4"/>
        <v>0.9106285014246582</v>
      </c>
      <c r="U15" s="49">
        <f t="shared" si="5"/>
        <v>0.08937149857534177</v>
      </c>
      <c r="V15" s="49">
        <f>IF(main!J$18=4,U15^2,1)*P15</f>
        <v>1.5134020824656376</v>
      </c>
      <c r="W15" s="49">
        <f>IF(main!J$18=4,T15^2,0)*O15/M$4</f>
        <v>0</v>
      </c>
      <c r="X15" s="49">
        <f>IF(main!J$18=4,T15,1)*(-2*M$7*SQRT(M$6*O15)/M$4)</f>
        <v>-2.165159183673468</v>
      </c>
      <c r="Y15" s="49">
        <f t="shared" si="6"/>
        <v>2.046519703983367</v>
      </c>
      <c r="Z15" s="49">
        <f>MAX(CHOOSE(main!J$18,M$4-1,Q15,Q15,(1/R15+1/S15)^2/(1/(R15^2*(M$4-1))+1/(S15^2*(Q15)))),2)</f>
        <v>24</v>
      </c>
      <c r="AA15" s="49">
        <f t="shared" si="7"/>
        <v>2.153980368098109</v>
      </c>
      <c r="AB15" s="49">
        <f t="shared" si="8"/>
        <v>-0.13285575985748777</v>
      </c>
      <c r="AC15" s="49">
        <f t="shared" si="9"/>
        <v>1.04342861532727</v>
      </c>
      <c r="AD15" s="152">
        <f t="shared" si="10"/>
        <v>0.5506588723309267</v>
      </c>
    </row>
    <row r="16" spans="2:30" ht="12.75">
      <c r="B16" s="118"/>
      <c r="C16" s="14" t="s">
        <v>104</v>
      </c>
      <c r="D16" s="191"/>
      <c r="N16" s="49">
        <f t="shared" si="11"/>
        <v>5.71428571428571</v>
      </c>
      <c r="O16" s="49">
        <f>IF(main!C$24=0,main!C$27^2,IF(main!C$24=1,main!C$28^2,IF(main!C$24=2,(N16*main!C$27)^2,N16*main!C$27)))</f>
        <v>39.510204081632594</v>
      </c>
      <c r="P16" s="49">
        <f t="shared" si="0"/>
        <v>1.5804081632653038</v>
      </c>
      <c r="Q16" s="49">
        <f t="shared" si="1"/>
        <v>38.16334211516747</v>
      </c>
      <c r="R16" s="49">
        <f t="shared" si="2"/>
        <v>0.23765180615372677</v>
      </c>
      <c r="S16" s="49">
        <f t="shared" si="3"/>
        <v>0.02254781056157856</v>
      </c>
      <c r="T16" s="49">
        <f t="shared" si="4"/>
        <v>0.9133441822620015</v>
      </c>
      <c r="U16" s="49">
        <f t="shared" si="5"/>
        <v>0.08665581773799846</v>
      </c>
      <c r="V16" s="49">
        <f>IF(main!J$18=4,U16^2,1)*P16</f>
        <v>1.5804081632653038</v>
      </c>
      <c r="W16" s="49">
        <f>IF(main!J$18=4,T16^2,0)*O16/M$4</f>
        <v>0</v>
      </c>
      <c r="X16" s="49">
        <f>IF(main!J$18=4,T16,1)*(-2*M$7*SQRT(M$6*O16)/M$4)</f>
        <v>-2.212571428571427</v>
      </c>
      <c r="Y16" s="49">
        <f t="shared" si="6"/>
        <v>2.0513012296330047</v>
      </c>
      <c r="Z16" s="49">
        <f>MAX(CHOOSE(main!J$18,M$4-1,Q16,Q16,(1/R16+1/S16)^2/(1/(R16^2*(M$4-1))+1/(S16^2*(Q16)))),2)</f>
        <v>24</v>
      </c>
      <c r="AA16" s="49">
        <f t="shared" si="7"/>
        <v>2.089266180804192</v>
      </c>
      <c r="AB16" s="49">
        <f t="shared" si="8"/>
        <v>-0.06814157256357056</v>
      </c>
      <c r="AC16" s="49">
        <f t="shared" si="9"/>
        <v>1.04342861532727</v>
      </c>
      <c r="AD16" s="152">
        <f t="shared" si="10"/>
        <v>0.5260345974000177</v>
      </c>
    </row>
    <row r="17" spans="2:30" ht="12.75">
      <c r="B17" s="119"/>
      <c r="C17" s="128"/>
      <c r="D17" s="191"/>
      <c r="N17" s="49">
        <f t="shared" si="11"/>
        <v>5.836734693877546</v>
      </c>
      <c r="O17" s="49">
        <f>IF(main!C$24=0,main!C$27^2,IF(main!C$24=1,main!C$28^2,IF(main!C$24=2,(N17*main!C$27)^2,N17*main!C$27)))</f>
        <v>41.221640982923724</v>
      </c>
      <c r="P17" s="49">
        <f t="shared" si="0"/>
        <v>1.648865639316949</v>
      </c>
      <c r="Q17" s="49">
        <f t="shared" si="1"/>
        <v>38.651898005768224</v>
      </c>
      <c r="R17" s="49">
        <f t="shared" si="2"/>
        <v>0.2364691206980939</v>
      </c>
      <c r="S17" s="49">
        <f t="shared" si="3"/>
        <v>0.021710038519268705</v>
      </c>
      <c r="T17" s="49">
        <f t="shared" si="4"/>
        <v>0.9159109566198915</v>
      </c>
      <c r="U17" s="49">
        <f t="shared" si="5"/>
        <v>0.08408904338010847</v>
      </c>
      <c r="V17" s="49">
        <f>IF(main!J$18=4,U17^2,1)*P17</f>
        <v>1.648865639316949</v>
      </c>
      <c r="W17" s="49">
        <f>IF(main!J$18=4,T17^2,0)*O17/M$4</f>
        <v>0</v>
      </c>
      <c r="X17" s="49">
        <f>IF(main!J$18=4,T17,1)*(-2*M$7*SQRT(M$6*O17)/M$4)</f>
        <v>-2.2599836734693866</v>
      </c>
      <c r="Y17" s="49">
        <f t="shared" si="6"/>
        <v>2.056424558754238</v>
      </c>
      <c r="Z17" s="49">
        <f>MAX(CHOOSE(main!J$18,M$4-1,Q17,Q17,(1/R17+1/S17)^2/(1/(R17^2*(M$4-1))+1/(S17^2*(Q17)))),2)</f>
        <v>24</v>
      </c>
      <c r="AA17" s="49">
        <f t="shared" si="7"/>
        <v>2.0245164299362965</v>
      </c>
      <c r="AB17" s="49">
        <f t="shared" si="8"/>
        <v>-0.003391821695675201</v>
      </c>
      <c r="AC17" s="49">
        <f t="shared" si="9"/>
        <v>1.04342861532727</v>
      </c>
      <c r="AD17" s="152">
        <f t="shared" si="10"/>
        <v>0.5012968196185815</v>
      </c>
    </row>
    <row r="18" spans="2:30" ht="12.75">
      <c r="B18" s="196" t="str">
        <f>CHOOSE(main!J18,"correlation:"," "," ","correlation:")</f>
        <v>correlation:</v>
      </c>
      <c r="C18" s="198"/>
      <c r="D18" s="132">
        <f>CHOOSE(main!J18,main!I20," "," ",main!I20)</f>
        <v>0.4</v>
      </c>
      <c r="N18" s="49">
        <f t="shared" si="11"/>
        <v>5.959183673469383</v>
      </c>
      <c r="O18" s="49">
        <f>IF(main!C$24=0,main!C$27^2,IF(main!C$24=1,main!C$28^2,IF(main!C$24=2,(N18*main!C$27)^2,N18*main!C$27)))</f>
        <v>42.969362765514305</v>
      </c>
      <c r="P18" s="49">
        <f t="shared" si="0"/>
        <v>1.7187745106205723</v>
      </c>
      <c r="Q18" s="49">
        <f t="shared" si="1"/>
        <v>39.13680577457436</v>
      </c>
      <c r="R18" s="49">
        <f t="shared" si="2"/>
        <v>0.23521781894987645</v>
      </c>
      <c r="S18" s="49">
        <f t="shared" si="3"/>
        <v>0.020916405117227723</v>
      </c>
      <c r="T18" s="49">
        <f t="shared" si="4"/>
        <v>0.9183381088825214</v>
      </c>
      <c r="U18" s="49">
        <f t="shared" si="5"/>
        <v>0.08166189111747857</v>
      </c>
      <c r="V18" s="49">
        <f>IF(main!J$18=4,U18^2,1)*P18</f>
        <v>1.7187745106205723</v>
      </c>
      <c r="W18" s="49">
        <f>IF(main!J$18=4,T18^2,0)*O18/M$4</f>
        <v>0</v>
      </c>
      <c r="X18" s="49">
        <f>IF(main!J$18=4,T18,1)*(-2*M$7*SQRT(M$6*O18)/M$4)</f>
        <v>-2.3073959183673454</v>
      </c>
      <c r="Y18" s="49">
        <f t="shared" si="6"/>
        <v>2.0618871434327404</v>
      </c>
      <c r="Z18" s="49">
        <f>MAX(CHOOSE(main!J$18,M$4-1,Q18,Q18,(1/R18+1/S18)^2/(1/(R18^2*(M$4-1))+1/(S18^2*(Q18)))),2)</f>
        <v>24</v>
      </c>
      <c r="AA18" s="49">
        <f t="shared" si="7"/>
        <v>1.9597660033920428</v>
      </c>
      <c r="AB18" s="49">
        <f t="shared" si="8"/>
        <v>0.06135860484857858</v>
      </c>
      <c r="AC18" s="49">
        <f t="shared" si="9"/>
        <v>1.04342861532727</v>
      </c>
      <c r="AD18" s="152">
        <f t="shared" si="10"/>
        <v>0.4765537949785783</v>
      </c>
    </row>
    <row r="19" spans="2:30" ht="12.75">
      <c r="B19" s="196" t="s">
        <v>9</v>
      </c>
      <c r="C19" s="197"/>
      <c r="D19" s="132">
        <f>main!G23</f>
        <v>25</v>
      </c>
      <c r="N19" s="49">
        <f t="shared" si="11"/>
        <v>6.081632653061219</v>
      </c>
      <c r="O19" s="49">
        <f>IF(main!C$24=0,main!C$27^2,IF(main!C$24=1,main!C$28^2,IF(main!C$24=2,(N19*main!C$27)^2,N19*main!C$27)))</f>
        <v>44.753369429404344</v>
      </c>
      <c r="P19" s="49">
        <f t="shared" si="0"/>
        <v>1.7901347771761738</v>
      </c>
      <c r="Q19" s="49">
        <f t="shared" si="1"/>
        <v>39.61702069124436</v>
      </c>
      <c r="R19" s="49">
        <f t="shared" si="2"/>
        <v>0.2339002584612469</v>
      </c>
      <c r="S19" s="49">
        <f t="shared" si="3"/>
        <v>0.02016398586152711</v>
      </c>
      <c r="T19" s="49">
        <f t="shared" si="4"/>
        <v>0.9206343028895088</v>
      </c>
      <c r="U19" s="49">
        <f t="shared" si="5"/>
        <v>0.07936569711049124</v>
      </c>
      <c r="V19" s="49">
        <f>IF(main!J$18=4,U19^2,1)*P19</f>
        <v>1.7901347771761738</v>
      </c>
      <c r="W19" s="49">
        <f>IF(main!J$18=4,T19^2,0)*O19/M$4</f>
        <v>0</v>
      </c>
      <c r="X19" s="49">
        <f>IF(main!J$18=4,T19,1)*(-2*M$7*SQRT(M$6*O19)/M$4)</f>
        <v>-2.354808163265304</v>
      </c>
      <c r="Y19" s="49">
        <f t="shared" si="6"/>
        <v>2.0676862948500845</v>
      </c>
      <c r="Z19" s="49">
        <f>MAX(CHOOSE(main!J$18,M$4-1,Q19,Q19,(1/R19+1/S19)^2/(1/(R19^2*(M$4-1))+1/(S19^2*(Q19)))),2)</f>
        <v>24</v>
      </c>
      <c r="AA19" s="49">
        <f t="shared" si="7"/>
        <v>1.8950492425752032</v>
      </c>
      <c r="AB19" s="49">
        <f t="shared" si="8"/>
        <v>0.1260753656654181</v>
      </c>
      <c r="AC19" s="49">
        <f t="shared" si="9"/>
        <v>1.04342861532727</v>
      </c>
      <c r="AD19" s="152">
        <f t="shared" si="10"/>
        <v>0.4519136461673601</v>
      </c>
    </row>
    <row r="20" spans="2:30" ht="12.75">
      <c r="B20" s="120"/>
      <c r="C20" s="129" t="s">
        <v>10</v>
      </c>
      <c r="D20" s="133">
        <f>main!L23</f>
        <v>25</v>
      </c>
      <c r="N20" s="49">
        <f t="shared" si="11"/>
        <v>6.204081632653056</v>
      </c>
      <c r="O20" s="49">
        <f>IF(main!C$24=0,main!C$27^2,IF(main!C$24=1,main!C$28^2,IF(main!C$24=2,(N20*main!C$27)^2,N20*main!C$27)))</f>
        <v>46.57366097459385</v>
      </c>
      <c r="P20" s="49">
        <f t="shared" si="0"/>
        <v>1.862946438983754</v>
      </c>
      <c r="Q20" s="49">
        <f t="shared" si="1"/>
        <v>40.0915002323413</v>
      </c>
      <c r="R20" s="49">
        <f t="shared" si="2"/>
        <v>0.2325188800294774</v>
      </c>
      <c r="S20" s="49">
        <f t="shared" si="3"/>
        <v>0.019450083519517346</v>
      </c>
      <c r="T20" s="49">
        <f t="shared" si="4"/>
        <v>0.9228076218373804</v>
      </c>
      <c r="U20" s="49">
        <f t="shared" si="5"/>
        <v>0.07719237816261959</v>
      </c>
      <c r="V20" s="49">
        <f>IF(main!J$18=4,U20^2,1)*P20</f>
        <v>1.862946438983754</v>
      </c>
      <c r="W20" s="49">
        <f>IF(main!J$18=4,T20^2,0)*O20/M$4</f>
        <v>0</v>
      </c>
      <c r="X20" s="49">
        <f>IF(main!J$18=4,T20,1)*(-2*M$7*SQRT(M$6*O20)/M$4)</f>
        <v>-2.402220408163264</v>
      </c>
      <c r="Y20" s="49">
        <f t="shared" si="6"/>
        <v>2.0738191895197833</v>
      </c>
      <c r="Z20" s="49">
        <f>MAX(CHOOSE(main!J$18,M$4-1,Q20,Q20,(1/R20+1/S20)^2/(1/(R20^2*(M$4-1))+1/(S20^2*(Q20)))),2)</f>
        <v>24</v>
      </c>
      <c r="AA20" s="49">
        <f t="shared" si="7"/>
        <v>1.8303998663576515</v>
      </c>
      <c r="AB20" s="49">
        <f t="shared" si="8"/>
        <v>0.19072474188296984</v>
      </c>
      <c r="AC20" s="49">
        <f t="shared" si="9"/>
        <v>1.04342861532727</v>
      </c>
      <c r="AD20" s="152">
        <f t="shared" si="10"/>
        <v>0.427482741735957</v>
      </c>
    </row>
    <row r="21" spans="2:30" ht="13.5" thickBot="1">
      <c r="B21" s="121"/>
      <c r="C21" s="130" t="s">
        <v>105</v>
      </c>
      <c r="D21" s="134" t="str">
        <f>IF(main!J18=4,main!L26," ")</f>
        <v> </v>
      </c>
      <c r="N21" s="49">
        <f t="shared" si="11"/>
        <v>6.326530612244892</v>
      </c>
      <c r="O21" s="49">
        <f>IF(main!C$24=0,main!C$27^2,IF(main!C$24=1,main!C$28^2,IF(main!C$24=2,(N21*main!C$27)^2,N21*main!C$27)))</f>
        <v>48.4302374010828</v>
      </c>
      <c r="P21" s="49">
        <f t="shared" si="0"/>
        <v>1.937209496043312</v>
      </c>
      <c r="Q21" s="49">
        <f t="shared" si="1"/>
        <v>40.55920991842198</v>
      </c>
      <c r="R21" s="49">
        <f t="shared" si="2"/>
        <v>0.23107619720760642</v>
      </c>
      <c r="S21" s="49">
        <f t="shared" si="3"/>
        <v>0.01877220843734542</v>
      </c>
      <c r="T21" s="49">
        <f t="shared" si="4"/>
        <v>0.9248656064508902</v>
      </c>
      <c r="U21" s="49">
        <f t="shared" si="5"/>
        <v>0.07513439354910978</v>
      </c>
      <c r="V21" s="49">
        <f>IF(main!J$18=4,U21^2,1)*P21</f>
        <v>1.937209496043312</v>
      </c>
      <c r="W21" s="49">
        <f>IF(main!J$18=4,T21^2,0)*O21/M$4</f>
        <v>0</v>
      </c>
      <c r="X21" s="49">
        <f>IF(main!J$18=4,T21,1)*(-2*M$7*SQRT(M$6*O21)/M$4)</f>
        <v>-2.4496326530612227</v>
      </c>
      <c r="Y21" s="49">
        <f t="shared" si="6"/>
        <v>2.080282875712361</v>
      </c>
      <c r="Z21" s="49">
        <f>MAX(CHOOSE(main!J$18,M$4-1,Q21,Q21,(1/R21+1/S21)^2/(1/(R21^2*(M$4-1))+1/(S21^2*(Q21)))),2)</f>
        <v>24</v>
      </c>
      <c r="AA21" s="49">
        <f t="shared" si="7"/>
        <v>1.7658508997230413</v>
      </c>
      <c r="AB21" s="49">
        <f t="shared" si="8"/>
        <v>0.25527370851758</v>
      </c>
      <c r="AC21" s="49">
        <f t="shared" si="9"/>
        <v>1.04342861532727</v>
      </c>
      <c r="AD21" s="152">
        <f t="shared" si="10"/>
        <v>0.4033641319030882</v>
      </c>
    </row>
    <row r="22" spans="14:30" ht="12.75">
      <c r="N22" s="49">
        <f t="shared" si="11"/>
        <v>6.4489795918367285</v>
      </c>
      <c r="O22" s="49">
        <f>IF(main!C$24=0,main!C$27^2,IF(main!C$24=1,main!C$28^2,IF(main!C$24=2,(N22*main!C$27)^2,N22*main!C$27)))</f>
        <v>50.323098708871214</v>
      </c>
      <c r="P22" s="49">
        <f t="shared" si="0"/>
        <v>2.0129239483548487</v>
      </c>
      <c r="Q22" s="49">
        <f t="shared" si="1"/>
        <v>41.0191292665403</v>
      </c>
      <c r="R22" s="49">
        <f t="shared" si="2"/>
        <v>0.22957478580796795</v>
      </c>
      <c r="S22" s="49">
        <f t="shared" si="3"/>
        <v>0.01812806066746903</v>
      </c>
      <c r="T22" s="49">
        <f t="shared" si="4"/>
        <v>0.9268152912838381</v>
      </c>
      <c r="U22" s="49">
        <f t="shared" si="5"/>
        <v>0.0731847087161619</v>
      </c>
      <c r="V22" s="49">
        <f>IF(main!J$18=4,U22^2,1)*P22</f>
        <v>2.0129239483548487</v>
      </c>
      <c r="W22" s="49">
        <f>IF(main!J$18=4,T22^2,0)*O22/M$4</f>
        <v>0</v>
      </c>
      <c r="X22" s="49">
        <f>IF(main!J$18=4,T22,1)*(-2*M$7*SQRT(M$6*O22)/M$4)</f>
        <v>-2.4970448979591815</v>
      </c>
      <c r="Y22" s="49">
        <f t="shared" si="6"/>
        <v>2.0870742800378874</v>
      </c>
      <c r="Z22" s="49">
        <f>MAX(CHOOSE(main!J$18,M$4-1,Q22,Q22,(1/R22+1/S22)^2/(1/(R22^2*(M$4-1))+1/(S22^2*(Q22)))),2)</f>
        <v>24</v>
      </c>
      <c r="AA22" s="49">
        <f t="shared" si="7"/>
        <v>1.7014346073484305</v>
      </c>
      <c r="AB22" s="49">
        <f t="shared" si="8"/>
        <v>0.3196900008921908</v>
      </c>
      <c r="AC22" s="49">
        <f t="shared" si="9"/>
        <v>1.04342861532727</v>
      </c>
      <c r="AD22" s="152">
        <f t="shared" si="10"/>
        <v>0.37965608327650313</v>
      </c>
    </row>
    <row r="23" spans="14:30" ht="12.75">
      <c r="N23" s="49">
        <f t="shared" si="11"/>
        <v>6.571428571428565</v>
      </c>
      <c r="O23" s="49">
        <f>IF(main!C$24=0,main!C$27^2,IF(main!C$24=1,main!C$28^2,IF(main!C$24=2,(N23*main!C$27)^2,N23*main!C$27)))</f>
        <v>52.252244897959095</v>
      </c>
      <c r="P23" s="49">
        <f t="shared" si="0"/>
        <v>2.090089795918364</v>
      </c>
      <c r="Q23" s="49">
        <f t="shared" si="1"/>
        <v>41.47025778644465</v>
      </c>
      <c r="R23" s="49">
        <f t="shared" si="2"/>
        <v>0.22801727347181902</v>
      </c>
      <c r="S23" s="49">
        <f t="shared" si="3"/>
        <v>0.01751551374074183</v>
      </c>
      <c r="T23" s="49">
        <f t="shared" si="4"/>
        <v>0.9286632390745501</v>
      </c>
      <c r="U23" s="49">
        <f t="shared" si="5"/>
        <v>0.07133676092544994</v>
      </c>
      <c r="V23" s="49">
        <f>IF(main!J$18=4,U23^2,1)*P23</f>
        <v>2.090089795918364</v>
      </c>
      <c r="W23" s="49">
        <f>IF(main!J$18=4,T23^2,0)*O23/M$4</f>
        <v>0</v>
      </c>
      <c r="X23" s="49">
        <f>IF(main!J$18=4,T23,1)*(-2*M$7*SQRT(M$6*O23)/M$4)</f>
        <v>-2.5444571428571408</v>
      </c>
      <c r="Y23" s="49">
        <f t="shared" si="6"/>
        <v>2.0941902141546795</v>
      </c>
      <c r="Z23" s="49">
        <f>MAX(CHOOSE(main!J$18,M$4-1,Q23,Q23,(1/R23+1/S23)^2/(1/(R23^2*(M$4-1))+1/(S23^2*(Q23)))),2)</f>
        <v>24</v>
      </c>
      <c r="AA23" s="49">
        <f t="shared" si="7"/>
        <v>1.6371824323299968</v>
      </c>
      <c r="AB23" s="49">
        <f t="shared" si="8"/>
        <v>0.3839421759106245</v>
      </c>
      <c r="AC23" s="49">
        <f t="shared" si="9"/>
        <v>1.04342861532727</v>
      </c>
      <c r="AD23" s="152">
        <f t="shared" si="10"/>
        <v>0.3564507502664672</v>
      </c>
    </row>
    <row r="24" spans="14:30" ht="12.75">
      <c r="N24" s="49">
        <f t="shared" si="11"/>
        <v>6.693877551020401</v>
      </c>
      <c r="O24" s="49">
        <f>IF(main!C$24=0,main!C$27^2,IF(main!C$24=1,main!C$28^2,IF(main!C$24=2,(N24*main!C$27)^2,N24*main!C$27)))</f>
        <v>54.21767596834642</v>
      </c>
      <c r="P24" s="49">
        <f t="shared" si="0"/>
        <v>2.168707038733857</v>
      </c>
      <c r="Q24" s="49">
        <f t="shared" si="1"/>
        <v>41.911620945608306</v>
      </c>
      <c r="R24" s="49">
        <f t="shared" si="2"/>
        <v>0.22640632937423075</v>
      </c>
      <c r="S24" s="49">
        <f t="shared" si="3"/>
        <v>0.016932599930548867</v>
      </c>
      <c r="T24" s="49">
        <f t="shared" si="4"/>
        <v>0.9304155731311657</v>
      </c>
      <c r="U24" s="49">
        <f t="shared" si="5"/>
        <v>0.06958442686883426</v>
      </c>
      <c r="V24" s="49">
        <f>IF(main!J$18=4,U24^2,1)*P24</f>
        <v>2.168707038733857</v>
      </c>
      <c r="W24" s="49">
        <f>IF(main!J$18=4,T24^2,0)*O24/M$4</f>
        <v>0</v>
      </c>
      <c r="X24" s="49">
        <f>IF(main!J$18=4,T24,1)*(-2*M$7*SQRT(M$6*O24)/M$4)</f>
        <v>-2.5918693877551</v>
      </c>
      <c r="Y24" s="49">
        <f t="shared" si="6"/>
        <v>2.1016273815733264</v>
      </c>
      <c r="Z24" s="49">
        <f>MAX(CHOOSE(main!J$18,M$4-1,Q24,Q24,(1/R24+1/S24)^2/(1/(R24^2*(M$4-1))+1/(S24^2*(Q24)))),2)</f>
        <v>24</v>
      </c>
      <c r="AA24" s="49">
        <f t="shared" si="7"/>
        <v>1.57312494020922</v>
      </c>
      <c r="AB24" s="49">
        <f t="shared" si="8"/>
        <v>0.44799966803140134</v>
      </c>
      <c r="AC24" s="49">
        <f t="shared" si="9"/>
        <v>1.04342861532727</v>
      </c>
      <c r="AD24" s="152">
        <f t="shared" si="10"/>
        <v>0.3338330150149562</v>
      </c>
    </row>
    <row r="25" spans="7:30" ht="12.75" customHeight="1">
      <c r="G25" s="190" t="s">
        <v>108</v>
      </c>
      <c r="H25" s="190"/>
      <c r="I25" s="190"/>
      <c r="J25" s="190"/>
      <c r="N25" s="49">
        <f t="shared" si="11"/>
        <v>6.816326530612238</v>
      </c>
      <c r="O25" s="49">
        <f>IF(main!C$24=0,main!C$27^2,IF(main!C$24=1,main!C$28^2,IF(main!C$24=2,(N25*main!C$27)^2,N25*main!C$27)))</f>
        <v>56.21939192003321</v>
      </c>
      <c r="P25" s="49">
        <f t="shared" si="0"/>
        <v>2.2487756768013285</v>
      </c>
      <c r="Q25" s="49">
        <f t="shared" si="1"/>
        <v>42.3422760265958</v>
      </c>
      <c r="R25" s="49">
        <f t="shared" si="2"/>
        <v>0.22474465412874192</v>
      </c>
      <c r="S25" s="49">
        <f t="shared" si="3"/>
        <v>0.01637749686910829</v>
      </c>
      <c r="T25" s="49">
        <f t="shared" si="4"/>
        <v>0.9320780077594185</v>
      </c>
      <c r="U25" s="49">
        <f t="shared" si="5"/>
        <v>0.06792199224058149</v>
      </c>
      <c r="V25" s="49">
        <f>IF(main!J$18=4,U25^2,1)*P25</f>
        <v>2.2487756768013285</v>
      </c>
      <c r="W25" s="49">
        <f>IF(main!J$18=4,T25^2,0)*O25/M$4</f>
        <v>0</v>
      </c>
      <c r="X25" s="49">
        <f>IF(main!J$18=4,T25,1)*(-2*M$7*SQRT(M$6*O25)/M$4)</f>
        <v>-2.639281632653059</v>
      </c>
      <c r="Y25" s="49">
        <f t="shared" si="6"/>
        <v>2.1093823845259227</v>
      </c>
      <c r="Z25" s="49">
        <f>MAX(CHOOSE(main!J$18,M$4-1,Q25,Q25,(1/R25+1/S25)^2/(1/(R25^2*(M$4-1))+1/(S25^2*(Q25)))),2)</f>
        <v>24</v>
      </c>
      <c r="AA25" s="49">
        <f t="shared" si="7"/>
        <v>1.5092917684070273</v>
      </c>
      <c r="AB25" s="49">
        <f t="shared" si="8"/>
        <v>0.5118328398335941</v>
      </c>
      <c r="AC25" s="49">
        <f t="shared" si="9"/>
        <v>1.04342861532727</v>
      </c>
      <c r="AD25" s="152">
        <f t="shared" si="10"/>
        <v>0.311879520624631</v>
      </c>
    </row>
    <row r="26" spans="7:30" ht="12.75">
      <c r="G26" s="190"/>
      <c r="H26" s="190"/>
      <c r="I26" s="190"/>
      <c r="J26" s="190"/>
      <c r="N26" s="49">
        <f t="shared" si="11"/>
        <v>6.938775510204074</v>
      </c>
      <c r="O26" s="49">
        <f>IF(main!C$24=0,main!C$27^2,IF(main!C$24=1,main!C$28^2,IF(main!C$24=2,(N26*main!C$27)^2,N26*main!C$27)))</f>
        <v>58.25739275301945</v>
      </c>
      <c r="P26" s="49">
        <f t="shared" si="0"/>
        <v>2.330295710120778</v>
      </c>
      <c r="Q26" s="49">
        <f t="shared" si="1"/>
        <v>42.76131780023393</v>
      </c>
      <c r="R26" s="49">
        <f t="shared" si="2"/>
        <v>0.2230349699511238</v>
      </c>
      <c r="S26" s="49">
        <f t="shared" si="3"/>
        <v>0.015848515388175784</v>
      </c>
      <c r="T26" s="49">
        <f t="shared" si="4"/>
        <v>0.9336558767732929</v>
      </c>
      <c r="U26" s="49">
        <f t="shared" si="5"/>
        <v>0.06634412322670713</v>
      </c>
      <c r="V26" s="49">
        <f>IF(main!J$18=4,U26^2,1)*P26</f>
        <v>2.330295710120778</v>
      </c>
      <c r="W26" s="49">
        <f>IF(main!J$18=4,T26^2,0)*O26/M$4</f>
        <v>0</v>
      </c>
      <c r="X26" s="49">
        <f>IF(main!J$18=4,T26,1)*(-2*M$7*SQRT(M$6*O26)/M$4)</f>
        <v>-2.6866938775510176</v>
      </c>
      <c r="Y26" s="49">
        <f t="shared" si="6"/>
        <v>2.1174517308712755</v>
      </c>
      <c r="Z26" s="49">
        <f>MAX(CHOOSE(main!J$18,M$4-1,Q26,Q26,(1/R26+1/S26)^2/(1/(R26^2*(M$4-1))+1/(S26^2*(Q26)))),2)</f>
        <v>24</v>
      </c>
      <c r="AA26" s="49">
        <f t="shared" si="7"/>
        <v>1.4457115811260135</v>
      </c>
      <c r="AB26" s="49">
        <f t="shared" si="8"/>
        <v>0.5754130271146078</v>
      </c>
      <c r="AC26" s="49">
        <f t="shared" si="9"/>
        <v>1.04342861532727</v>
      </c>
      <c r="AD26" s="152">
        <f t="shared" si="10"/>
        <v>0.2906579147458621</v>
      </c>
    </row>
    <row r="27" spans="7:30" ht="12.75">
      <c r="G27" s="190"/>
      <c r="H27" s="190"/>
      <c r="I27" s="190"/>
      <c r="J27" s="190"/>
      <c r="N27" s="49">
        <f t="shared" si="11"/>
        <v>7.061224489795911</v>
      </c>
      <c r="O27" s="49">
        <f>IF(main!C$24=0,main!C$27^2,IF(main!C$24=1,main!C$28^2,IF(main!C$24=2,(N27*main!C$27)^2,N27*main!C$27)))</f>
        <v>60.33167846730517</v>
      </c>
      <c r="P27" s="49">
        <f t="shared" si="0"/>
        <v>2.413267138692207</v>
      </c>
      <c r="Q27" s="49">
        <f t="shared" si="1"/>
        <v>43.16788393967411</v>
      </c>
      <c r="R27" s="49">
        <f t="shared" si="2"/>
        <v>0.22128001113607104</v>
      </c>
      <c r="S27" s="49">
        <f t="shared" si="3"/>
        <v>0.01534408846784071</v>
      </c>
      <c r="T27" s="49">
        <f t="shared" si="4"/>
        <v>0.9351541601488378</v>
      </c>
      <c r="U27" s="49">
        <f t="shared" si="5"/>
        <v>0.06484583985116221</v>
      </c>
      <c r="V27" s="49">
        <f>IF(main!J$18=4,U27^2,1)*P27</f>
        <v>2.413267138692207</v>
      </c>
      <c r="W27" s="49">
        <f>IF(main!J$18=4,T27^2,0)*O27/M$4</f>
        <v>0</v>
      </c>
      <c r="X27" s="49">
        <f>IF(main!J$18=4,T27,1)*(-2*M$7*SQRT(M$6*O27)/M$4)</f>
        <v>-2.7341061224489764</v>
      </c>
      <c r="Y27" s="49">
        <f t="shared" si="6"/>
        <v>2.1258318410079458</v>
      </c>
      <c r="Z27" s="49">
        <f>MAX(CHOOSE(main!J$18,M$4-1,Q27,Q27,(1/R27+1/S27)^2/(1/(R27^2*(M$4-1))+1/(S27^2*(Q27)))),2)</f>
        <v>24</v>
      </c>
      <c r="AA27" s="49">
        <f t="shared" si="7"/>
        <v>1.3824120297354718</v>
      </c>
      <c r="AB27" s="49">
        <f t="shared" si="8"/>
        <v>0.6387125785051495</v>
      </c>
      <c r="AC27" s="49">
        <f t="shared" si="9"/>
        <v>1.04342861532727</v>
      </c>
      <c r="AD27" s="152">
        <f t="shared" si="10"/>
        <v>0.27022631258620544</v>
      </c>
    </row>
    <row r="28" spans="8:30" ht="12.75">
      <c r="H28" s="135">
        <v>4</v>
      </c>
      <c r="I28" s="135">
        <v>10</v>
      </c>
      <c r="N28" s="49">
        <f t="shared" si="11"/>
        <v>7.183673469387747</v>
      </c>
      <c r="O28" s="49">
        <f>IF(main!C$24=0,main!C$27^2,IF(main!C$24=1,main!C$28^2,IF(main!C$24=2,(N28*main!C$27)^2,N28*main!C$27)))</f>
        <v>62.44224906289033</v>
      </c>
      <c r="P28" s="49">
        <f t="shared" si="0"/>
        <v>2.4976899625156133</v>
      </c>
      <c r="Q28" s="49">
        <f t="shared" si="1"/>
        <v>43.56116010369871</v>
      </c>
      <c r="R28" s="49">
        <f t="shared" si="2"/>
        <v>0.21948251489482767</v>
      </c>
      <c r="S28" s="49">
        <f t="shared" si="3"/>
        <v>0.014862761187802685</v>
      </c>
      <c r="T28" s="49">
        <f t="shared" si="4"/>
        <v>0.9365775088951993</v>
      </c>
      <c r="U28" s="49">
        <f t="shared" si="5"/>
        <v>0.0634224911048007</v>
      </c>
      <c r="V28" s="49">
        <f>IF(main!J$18=4,U28^2,1)*P28</f>
        <v>2.4976899625156133</v>
      </c>
      <c r="W28" s="49">
        <f>IF(main!J$18=4,T28^2,0)*O28/M$4</f>
        <v>0</v>
      </c>
      <c r="X28" s="49">
        <f>IF(main!J$18=4,T28,1)*(-2*M$7*SQRT(M$6*O28)/M$4)</f>
        <v>-2.781518367346936</v>
      </c>
      <c r="Y28" s="49">
        <f t="shared" si="6"/>
        <v>2.1345190547682344</v>
      </c>
      <c r="Z28" s="49">
        <f>MAX(CHOOSE(main!J$18,M$4-1,Q28,Q28,(1/R28+1/S28)^2/(1/(R28^2*(M$4-1))+1/(S28^2*(Q28)))),2)</f>
        <v>24</v>
      </c>
      <c r="AA28" s="49">
        <f t="shared" si="7"/>
        <v>1.3194197186110614</v>
      </c>
      <c r="AB28" s="49">
        <f t="shared" si="8"/>
        <v>0.7017048896295599</v>
      </c>
      <c r="AC28" s="49">
        <f t="shared" si="9"/>
        <v>1.04342861532727</v>
      </c>
      <c r="AD28" s="152">
        <f t="shared" si="10"/>
        <v>0.25063298055070815</v>
      </c>
    </row>
    <row r="29" spans="8:30" ht="12.75">
      <c r="H29" s="90" t="s">
        <v>109</v>
      </c>
      <c r="I29" s="90" t="s">
        <v>110</v>
      </c>
      <c r="N29" s="49">
        <f t="shared" si="11"/>
        <v>7.3061224489795835</v>
      </c>
      <c r="O29" s="49">
        <f>IF(main!C$24=0,main!C$27^2,IF(main!C$24=1,main!C$28^2,IF(main!C$24=2,(N29*main!C$27)^2,N29*main!C$27)))</f>
        <v>64.58910453977497</v>
      </c>
      <c r="P29" s="49">
        <f t="shared" si="0"/>
        <v>2.5835641815909987</v>
      </c>
      <c r="Q29" s="49">
        <f t="shared" si="1"/>
        <v>43.940384622481865</v>
      </c>
      <c r="R29" s="49">
        <f t="shared" si="2"/>
        <v>0.2176452125957713</v>
      </c>
      <c r="S29" s="49">
        <f t="shared" si="3"/>
        <v>0.01440318158542739</v>
      </c>
      <c r="T29" s="49">
        <f t="shared" si="4"/>
        <v>0.9379302682259442</v>
      </c>
      <c r="U29" s="49">
        <f t="shared" si="5"/>
        <v>0.062069731774055836</v>
      </c>
      <c r="V29" s="49">
        <f>IF(main!J$18=4,U29^2,1)*P29</f>
        <v>2.5835641815909987</v>
      </c>
      <c r="W29" s="49">
        <f>IF(main!J$18=4,T29^2,0)*O29/M$4</f>
        <v>0</v>
      </c>
      <c r="X29" s="49">
        <f>IF(main!J$18=4,T29,1)*(-2*M$7*SQRT(M$6*O29)/M$4)</f>
        <v>-2.8289306122448954</v>
      </c>
      <c r="Y29" s="49">
        <f t="shared" si="6"/>
        <v>2.1435096382676013</v>
      </c>
      <c r="Z29" s="49">
        <f>MAX(CHOOSE(main!J$18,M$4-1,Q29,Q29,(1/R29+1/S29)^2/(1/(R29^2*(M$4-1))+1/(S29^2*(Q29)))),2)</f>
        <v>24</v>
      </c>
      <c r="AA29" s="49">
        <f t="shared" si="7"/>
        <v>1.2567601763608705</v>
      </c>
      <c r="AB29" s="49">
        <f t="shared" si="8"/>
        <v>0.7643644318797509</v>
      </c>
      <c r="AC29" s="49">
        <f t="shared" si="9"/>
        <v>1.04342861532727</v>
      </c>
      <c r="AD29" s="152">
        <f t="shared" si="10"/>
        <v>0.23191623437125597</v>
      </c>
    </row>
    <row r="30" spans="14:30" ht="12.75">
      <c r="N30" s="49">
        <f t="shared" si="11"/>
        <v>7.42857142857142</v>
      </c>
      <c r="O30" s="49">
        <f>IF(main!C$24=0,main!C$27^2,IF(main!C$24=1,main!C$28^2,IF(main!C$24=2,(N30*main!C$27)^2,N30*main!C$27)))</f>
        <v>66.77224489795903</v>
      </c>
      <c r="P30" s="49">
        <f t="shared" si="0"/>
        <v>2.6708897959183613</v>
      </c>
      <c r="Q30" s="49">
        <f t="shared" si="1"/>
        <v>44.30485272535106</v>
      </c>
      <c r="R30" s="49">
        <f t="shared" si="2"/>
        <v>0.2157708214439209</v>
      </c>
      <c r="S30" s="49">
        <f t="shared" si="3"/>
        <v>0.01396409233399832</v>
      </c>
      <c r="T30" s="49">
        <f t="shared" si="4"/>
        <v>0.9392164991190797</v>
      </c>
      <c r="U30" s="49">
        <f t="shared" si="5"/>
        <v>0.06078350088092033</v>
      </c>
      <c r="V30" s="49">
        <f>IF(main!J$18=4,U30^2,1)*P30</f>
        <v>2.6708897959183613</v>
      </c>
      <c r="W30" s="49">
        <f>IF(main!J$18=4,T30^2,0)*O30/M$4</f>
        <v>0</v>
      </c>
      <c r="X30" s="49">
        <f>IF(main!J$18=4,T30,1)*(-2*M$7*SQRT(M$6*O30)/M$4)</f>
        <v>-2.8763428571428538</v>
      </c>
      <c r="Y30" s="49">
        <f t="shared" si="6"/>
        <v>2.1527997906854943</v>
      </c>
      <c r="Z30" s="49">
        <f>MAX(CHOOSE(main!J$18,M$4-1,Q30,Q30,(1/R30+1/S30)^2/(1/(R30^2*(M$4-1))+1/(S30^2*(Q30)))),2)</f>
        <v>24</v>
      </c>
      <c r="AA30" s="49">
        <f t="shared" si="7"/>
        <v>1.1944578323327437</v>
      </c>
      <c r="AB30" s="49">
        <f t="shared" si="8"/>
        <v>0.8266667759078776</v>
      </c>
      <c r="AC30" s="49">
        <f t="shared" si="9"/>
        <v>1.04342861532727</v>
      </c>
      <c r="AD30" s="152">
        <f t="shared" si="10"/>
        <v>0.21410453904837767</v>
      </c>
    </row>
    <row r="31" spans="11:30" ht="12.75">
      <c r="K31" s="115"/>
      <c r="N31" s="49">
        <f t="shared" si="11"/>
        <v>7.551020408163256</v>
      </c>
      <c r="O31" s="49">
        <f>IF(main!C$24=0,main!C$27^2,IF(main!C$24=1,main!C$28^2,IF(main!C$24=2,(N31*main!C$27)^2,N31*main!C$27)))</f>
        <v>68.99167013744258</v>
      </c>
      <c r="P31" s="49">
        <f t="shared" si="0"/>
        <v>2.7596668054977034</v>
      </c>
      <c r="Q31" s="49">
        <f t="shared" si="1"/>
        <v>44.653920257752276</v>
      </c>
      <c r="R31" s="49">
        <f t="shared" si="2"/>
        <v>0.21386203662928502</v>
      </c>
      <c r="S31" s="49">
        <f t="shared" si="3"/>
        <v>0.013544323162924978</v>
      </c>
      <c r="T31" s="49">
        <f t="shared" si="4"/>
        <v>0.940439998356682</v>
      </c>
      <c r="U31" s="49">
        <f t="shared" si="5"/>
        <v>0.059560001643317984</v>
      </c>
      <c r="V31" s="49">
        <f>IF(main!J$18=4,U31^2,1)*P31</f>
        <v>2.7596668054977034</v>
      </c>
      <c r="W31" s="49">
        <f>IF(main!J$18=4,T31^2,0)*O31/M$4</f>
        <v>0</v>
      </c>
      <c r="X31" s="49">
        <f>IF(main!J$18=4,T31,1)*(-2*M$7*SQRT(M$6*O31)/M$4)</f>
        <v>-2.923755102040813</v>
      </c>
      <c r="Y31" s="49">
        <f t="shared" si="6"/>
        <v>2.1623856509551875</v>
      </c>
      <c r="Z31" s="49">
        <f>MAX(CHOOSE(main!J$18,M$4-1,Q31,Q31,(1/R31+1/S31)^2/(1/(R31^2*(M$4-1))+1/(S31^2*(Q31)))),2)</f>
        <v>24</v>
      </c>
      <c r="AA31" s="49">
        <f t="shared" si="7"/>
        <v>1.1325359982642131</v>
      </c>
      <c r="AB31" s="49">
        <f t="shared" si="8"/>
        <v>0.8885886099764082</v>
      </c>
      <c r="AC31" s="49">
        <f t="shared" si="9"/>
        <v>1.04342861532727</v>
      </c>
      <c r="AD31" s="152">
        <f t="shared" si="10"/>
        <v>0.197216792446141</v>
      </c>
    </row>
    <row r="32" spans="14:30" ht="12.75">
      <c r="N32" s="49">
        <f t="shared" si="11"/>
        <v>7.673469387755093</v>
      </c>
      <c r="O32" s="49">
        <f>IF(main!C$24=0,main!C$27^2,IF(main!C$24=1,main!C$28^2,IF(main!C$24=2,(N32*main!C$27)^2,N32*main!C$27)))</f>
        <v>71.24738025822559</v>
      </c>
      <c r="P32" s="49">
        <f t="shared" si="0"/>
        <v>2.8498952103290236</v>
      </c>
      <c r="Q32" s="49">
        <f t="shared" si="1"/>
        <v>44.98700684339063</v>
      </c>
      <c r="R32" s="49">
        <f t="shared" si="2"/>
        <v>0.2119215239680156</v>
      </c>
      <c r="S32" s="49">
        <f t="shared" si="3"/>
        <v>0.013142783949272492</v>
      </c>
      <c r="T32" s="49">
        <f t="shared" si="4"/>
        <v>0.9416043171354274</v>
      </c>
      <c r="U32" s="49">
        <f t="shared" si="5"/>
        <v>0.05839568286457264</v>
      </c>
      <c r="V32" s="49">
        <f>IF(main!J$18=4,U32^2,1)*P32</f>
        <v>2.8498952103290236</v>
      </c>
      <c r="W32" s="49">
        <f>IF(main!J$18=4,T32^2,0)*O32/M$4</f>
        <v>0</v>
      </c>
      <c r="X32" s="49">
        <f>IF(main!J$18=4,T32,1)*(-2*M$7*SQRT(M$6*O32)/M$4)</f>
        <v>-2.9711673469387727</v>
      </c>
      <c r="Y32" s="49">
        <f t="shared" si="6"/>
        <v>2.172263304341868</v>
      </c>
      <c r="Z32" s="49">
        <f>MAX(CHOOSE(main!J$18,M$4-1,Q32,Q32,(1/R32+1/S32)^2/(1/(R32^2*(M$4-1))+1/(S32^2*(Q32)))),2)</f>
        <v>24</v>
      </c>
      <c r="AA32" s="49">
        <f t="shared" si="7"/>
        <v>1.071016854906444</v>
      </c>
      <c r="AB32" s="49">
        <f t="shared" si="8"/>
        <v>0.9501077533341773</v>
      </c>
      <c r="AC32" s="49">
        <f t="shared" si="9"/>
        <v>1.04342861532727</v>
      </c>
      <c r="AD32" s="152">
        <f t="shared" si="10"/>
        <v>0.18126277010610425</v>
      </c>
    </row>
    <row r="33" spans="14:30" ht="12.75">
      <c r="N33" s="49">
        <f t="shared" si="11"/>
        <v>7.795918367346929</v>
      </c>
      <c r="O33" s="49">
        <f>IF(main!C$24=0,main!C$27^2,IF(main!C$24=1,main!C$28^2,IF(main!C$24=2,(N33*main!C$27)^2,N33*main!C$27)))</f>
        <v>73.53937526030802</v>
      </c>
      <c r="P33" s="49">
        <f t="shared" si="0"/>
        <v>2.9415750104123206</v>
      </c>
      <c r="Q33" s="49">
        <f t="shared" si="1"/>
        <v>45.30359845716263</v>
      </c>
      <c r="R33" s="49">
        <f t="shared" si="2"/>
        <v>0.20995191305454952</v>
      </c>
      <c r="S33" s="49">
        <f t="shared" si="3"/>
        <v>0.012758458416884173</v>
      </c>
      <c r="T33" s="49">
        <f t="shared" si="4"/>
        <v>0.9427127783381177</v>
      </c>
      <c r="U33" s="49">
        <f t="shared" si="5"/>
        <v>0.05728722166188227</v>
      </c>
      <c r="V33" s="49">
        <f>IF(main!J$18=4,U33^2,1)*P33</f>
        <v>2.9415750104123206</v>
      </c>
      <c r="W33" s="49">
        <f>IF(main!J$18=4,T33^2,0)*O33/M$4</f>
        <v>0</v>
      </c>
      <c r="X33" s="49">
        <f>IF(main!J$18=4,T33,1)*(-2*M$7*SQRT(M$6*O33)/M$4)</f>
        <v>-3.0185795918367306</v>
      </c>
      <c r="Y33" s="49">
        <f t="shared" si="6"/>
        <v>2.1824287888899354</v>
      </c>
      <c r="Z33" s="49">
        <f>MAX(CHOOSE(main!J$18,M$4-1,Q33,Q33,(1/R33+1/S33)^2/(1/(R33^2*(M$4-1))+1/(S33^2*(Q33)))),2)</f>
        <v>24</v>
      </c>
      <c r="AA33" s="49">
        <f t="shared" si="7"/>
        <v>1.0099214434273243</v>
      </c>
      <c r="AB33" s="49">
        <f t="shared" si="8"/>
        <v>1.011203164813297</v>
      </c>
      <c r="AC33" s="49">
        <f t="shared" si="9"/>
        <v>1.04342861532727</v>
      </c>
      <c r="AD33" s="152">
        <f t="shared" si="10"/>
        <v>0.1662437058541837</v>
      </c>
    </row>
    <row r="34" spans="14:30" ht="12.75">
      <c r="N34" s="49">
        <f t="shared" si="11"/>
        <v>7.918367346938766</v>
      </c>
      <c r="O34" s="49">
        <f>IF(main!C$24=0,main!C$27^2,IF(main!C$24=1,main!C$28^2,IF(main!C$24=2,(N34*main!C$27)^2,N34*main!C$27)))</f>
        <v>75.86765514368996</v>
      </c>
      <c r="P34" s="49">
        <f t="shared" si="0"/>
        <v>3.0347062057475984</v>
      </c>
      <c r="Q34" s="49">
        <f t="shared" si="1"/>
        <v>45.603249384747016</v>
      </c>
      <c r="R34" s="49">
        <f t="shared" si="2"/>
        <v>0.20795579093737515</v>
      </c>
      <c r="S34" s="49">
        <f t="shared" si="3"/>
        <v>0.012390398385625553</v>
      </c>
      <c r="T34" s="49">
        <f t="shared" si="4"/>
        <v>0.9437684925539478</v>
      </c>
      <c r="U34" s="49">
        <f t="shared" si="5"/>
        <v>0.05623150744605221</v>
      </c>
      <c r="V34" s="49">
        <f>IF(main!J$18=4,U34^2,1)*P34</f>
        <v>3.0347062057475984</v>
      </c>
      <c r="W34" s="49">
        <f>IF(main!J$18=4,T34^2,0)*O34/M$4</f>
        <v>0</v>
      </c>
      <c r="X34" s="49">
        <f>IF(main!J$18=4,T34,1)*(-2*M$7*SQRT(M$6*O34)/M$4)</f>
        <v>-3.0659918367346903</v>
      </c>
      <c r="Y34" s="49">
        <f t="shared" si="6"/>
        <v>2.1928781017222336</v>
      </c>
      <c r="Z34" s="49">
        <f>MAX(CHOOSE(main!J$18,M$4-1,Q34,Q34,(1/R34+1/S34)^2/(1/(R34^2*(M$4-1))+1/(S34^2*(Q34)))),2)</f>
        <v>24</v>
      </c>
      <c r="AA34" s="49">
        <f t="shared" si="7"/>
        <v>0.9492696613762389</v>
      </c>
      <c r="AB34" s="49">
        <f t="shared" si="8"/>
        <v>1.0718549468643825</v>
      </c>
      <c r="AC34" s="49">
        <f t="shared" si="9"/>
        <v>1.04342861532727</v>
      </c>
      <c r="AD34" s="152">
        <f t="shared" si="10"/>
        <v>0.1521529810624085</v>
      </c>
    </row>
    <row r="35" spans="14:30" ht="12.75">
      <c r="N35" s="49">
        <f t="shared" si="11"/>
        <v>8.040816326530603</v>
      </c>
      <c r="O35" s="49">
        <f>IF(main!C$24=0,main!C$27^2,IF(main!C$24=1,main!C$28^2,IF(main!C$24=2,(N35*main!C$27)^2,N35*main!C$27)))</f>
        <v>78.23221990837133</v>
      </c>
      <c r="P35" s="49">
        <f t="shared" si="0"/>
        <v>3.1292887963348535</v>
      </c>
      <c r="Q35" s="49">
        <f t="shared" si="1"/>
        <v>45.88558355529728</v>
      </c>
      <c r="R35" s="49">
        <f t="shared" si="2"/>
        <v>0.20593569632579856</v>
      </c>
      <c r="S35" s="49">
        <f t="shared" si="3"/>
        <v>0.012037718518934488</v>
      </c>
      <c r="T35" s="49">
        <f t="shared" si="4"/>
        <v>0.9447743729320881</v>
      </c>
      <c r="U35" s="49">
        <f t="shared" si="5"/>
        <v>0.0552256270679119</v>
      </c>
      <c r="V35" s="49">
        <f>IF(main!J$18=4,U35^2,1)*P35</f>
        <v>3.1292887963348535</v>
      </c>
      <c r="W35" s="49">
        <f>IF(main!J$18=4,T35^2,0)*O35/M$4</f>
        <v>0</v>
      </c>
      <c r="X35" s="49">
        <f>IF(main!J$18=4,T35,1)*(-2*M$7*SQRT(M$6*O35)/M$4)</f>
        <v>-3.11340408163265</v>
      </c>
      <c r="Y35" s="49">
        <f t="shared" si="6"/>
        <v>2.203607205175687</v>
      </c>
      <c r="Z35" s="49">
        <f>MAX(CHOOSE(main!J$18,M$4-1,Q35,Q35,(1/R35+1/S35)^2/(1/(R35^2*(M$4-1))+1/(S35^2*(Q35)))),2)</f>
        <v>24</v>
      </c>
      <c r="AA35" s="49">
        <f t="shared" si="7"/>
        <v>0.8890802629741797</v>
      </c>
      <c r="AB35" s="49">
        <f t="shared" si="8"/>
        <v>1.1320443452664417</v>
      </c>
      <c r="AC35" s="49">
        <f t="shared" si="9"/>
        <v>1.04342861532727</v>
      </c>
      <c r="AD35" s="152">
        <f t="shared" si="10"/>
        <v>0.138976894926234</v>
      </c>
    </row>
    <row r="36" spans="14:30" ht="12.75">
      <c r="N36" s="49">
        <f t="shared" si="11"/>
        <v>8.16326530612244</v>
      </c>
      <c r="O36" s="49">
        <f>IF(main!C$24=0,main!C$27^2,IF(main!C$24=1,main!C$28^2,IF(main!C$24=2,(N36*main!C$27)^2,N36*main!C$27)))</f>
        <v>80.63306955435218</v>
      </c>
      <c r="P36" s="49">
        <f t="shared" si="0"/>
        <v>3.225322782174087</v>
      </c>
      <c r="Q36" s="49">
        <f t="shared" si="1"/>
        <v>46.15029524429472</v>
      </c>
      <c r="R36" s="49">
        <f t="shared" si="2"/>
        <v>0.20389411433016427</v>
      </c>
      <c r="S36" s="49">
        <f t="shared" si="3"/>
        <v>0.01169959152296621</v>
      </c>
      <c r="T36" s="49">
        <f t="shared" si="4"/>
        <v>0.9457331489494579</v>
      </c>
      <c r="U36" s="49">
        <f t="shared" si="5"/>
        <v>0.054266851050542075</v>
      </c>
      <c r="V36" s="49">
        <f>IF(main!J$18=4,U36^2,1)*P36</f>
        <v>3.225322782174087</v>
      </c>
      <c r="W36" s="49">
        <f>IF(main!J$18=4,T36^2,0)*O36/M$4</f>
        <v>0</v>
      </c>
      <c r="X36" s="49">
        <f>IF(main!J$18=4,T36,1)*(-2*M$7*SQRT(M$6*O36)/M$4)</f>
        <v>-3.1608163265306093</v>
      </c>
      <c r="Y36" s="49">
        <f t="shared" si="6"/>
        <v>2.214612032759571</v>
      </c>
      <c r="Z36" s="49">
        <f>MAX(CHOOSE(main!J$18,M$4-1,Q36,Q36,(1/R36+1/S36)^2/(1/(R36^2*(M$4-1))+1/(S36^2*(Q36)))),2)</f>
        <v>24</v>
      </c>
      <c r="AA36" s="49">
        <f t="shared" si="7"/>
        <v>0.829370863477542</v>
      </c>
      <c r="AB36" s="49">
        <f t="shared" si="8"/>
        <v>1.1917537447630795</v>
      </c>
      <c r="AC36" s="49">
        <f t="shared" si="9"/>
        <v>1.04342861532727</v>
      </c>
      <c r="AD36" s="152">
        <f t="shared" si="10"/>
        <v>0.12669548870337666</v>
      </c>
    </row>
    <row r="37" spans="14:30" ht="12.75">
      <c r="N37" s="49">
        <f t="shared" si="11"/>
        <v>8.285714285714278</v>
      </c>
      <c r="O37" s="49">
        <f>IF(main!C$24=0,main!C$27^2,IF(main!C$24=1,main!C$28^2,IF(main!C$24=2,(N37*main!C$27)^2,N37*main!C$27)))</f>
        <v>83.07020408163251</v>
      </c>
      <c r="P37" s="49">
        <f t="shared" si="0"/>
        <v>3.3228081632653006</v>
      </c>
      <c r="Q37" s="49">
        <f t="shared" si="1"/>
        <v>46.39714915399477</v>
      </c>
      <c r="R37" s="49">
        <f t="shared" si="2"/>
        <v>0.20183347173342836</v>
      </c>
      <c r="S37" s="49">
        <f t="shared" si="3"/>
        <v>0.011375243755223344</v>
      </c>
      <c r="T37" s="49">
        <f t="shared" si="4"/>
        <v>0.946647379169503</v>
      </c>
      <c r="U37" s="49">
        <f t="shared" si="5"/>
        <v>0.053352620830496966</v>
      </c>
      <c r="V37" s="49">
        <f>IF(main!J$18=4,U37^2,1)*P37</f>
        <v>3.3228081632653006</v>
      </c>
      <c r="W37" s="49">
        <f>IF(main!J$18=4,T37^2,0)*O37/M$4</f>
        <v>0</v>
      </c>
      <c r="X37" s="49">
        <f>IF(main!J$18=4,T37,1)*(-2*M$7*SQRT(M$6*O37)/M$4)</f>
        <v>-3.208228571428569</v>
      </c>
      <c r="Y37" s="49">
        <f t="shared" si="6"/>
        <v>2.2258884949243822</v>
      </c>
      <c r="Z37" s="49">
        <f>MAX(CHOOSE(main!J$18,M$4-1,Q37,Q37,(1/R37+1/S37)^2/(1/(R37^2*(M$4-1))+1/(S37^2*(Q37)))),2)</f>
        <v>24</v>
      </c>
      <c r="AA37" s="49">
        <f t="shared" si="7"/>
        <v>0.7701579473521472</v>
      </c>
      <c r="AB37" s="49">
        <f t="shared" si="8"/>
        <v>1.2509666608884742</v>
      </c>
      <c r="AC37" s="49">
        <f t="shared" si="9"/>
        <v>1.04342861532727</v>
      </c>
      <c r="AD37" s="152">
        <f t="shared" si="10"/>
        <v>0.11528339836844659</v>
      </c>
    </row>
    <row r="38" spans="14:30" ht="12.75">
      <c r="N38" s="49">
        <f t="shared" si="11"/>
        <v>8.408163265306115</v>
      </c>
      <c r="O38" s="49">
        <f>IF(main!C$24=0,main!C$27^2,IF(main!C$24=1,main!C$28^2,IF(main!C$24=2,(N38*main!C$27)^2,N38*main!C$27)))</f>
        <v>85.54362349021228</v>
      </c>
      <c r="P38" s="49">
        <f t="shared" si="0"/>
        <v>3.4217449396084914</v>
      </c>
      <c r="Q38" s="49">
        <f t="shared" si="1"/>
        <v>46.62597988877271</v>
      </c>
      <c r="R38" s="49">
        <f t="shared" si="2"/>
        <v>0.19975613278782703</v>
      </c>
      <c r="S38" s="49">
        <f t="shared" si="3"/>
        <v>0.01106395120470348</v>
      </c>
      <c r="T38" s="49">
        <f t="shared" si="4"/>
        <v>0.9475194630645556</v>
      </c>
      <c r="U38" s="49">
        <f t="shared" si="5"/>
        <v>0.05248053693544441</v>
      </c>
      <c r="V38" s="49">
        <f>IF(main!J$18=4,U38^2,1)*P38</f>
        <v>3.4217449396084914</v>
      </c>
      <c r="W38" s="49">
        <f>IF(main!J$18=4,T38^2,0)*O38/M$4</f>
        <v>0</v>
      </c>
      <c r="X38" s="49">
        <f>IF(main!J$18=4,T38,1)*(-2*M$7*SQRT(M$6*O38)/M$4)</f>
        <v>-3.2556408163265287</v>
      </c>
      <c r="Y38" s="49">
        <f t="shared" si="6"/>
        <v>2.2374324846309803</v>
      </c>
      <c r="Z38" s="49">
        <f>MAX(CHOOSE(main!J$18,M$4-1,Q38,Q38,(1/R38+1/S38)^2/(1/(R38^2*(M$4-1))+1/(S38^2*(Q38)))),2)</f>
        <v>24</v>
      </c>
      <c r="AA38" s="49">
        <f t="shared" si="7"/>
        <v>0.7114568799855548</v>
      </c>
      <c r="AB38" s="49">
        <f t="shared" si="8"/>
        <v>1.3096677282550666</v>
      </c>
      <c r="AC38" s="49">
        <f t="shared" si="9"/>
        <v>1.04342861532727</v>
      </c>
      <c r="AD38" s="152">
        <f t="shared" si="10"/>
        <v>0.10471071238112328</v>
      </c>
    </row>
    <row r="39" spans="14:30" ht="12.75">
      <c r="N39" s="49">
        <f t="shared" si="11"/>
        <v>8.530612244897952</v>
      </c>
      <c r="O39" s="49">
        <f>IF(main!C$24=0,main!C$27^2,IF(main!C$24=1,main!C$28^2,IF(main!C$24=2,(N39*main!C$27)^2,N39*main!C$27)))</f>
        <v>88.0533277800915</v>
      </c>
      <c r="P39" s="49">
        <f t="shared" si="0"/>
        <v>3.52213311120366</v>
      </c>
      <c r="Q39" s="49">
        <f t="shared" si="1"/>
        <v>46.8366908518076</v>
      </c>
      <c r="R39" s="49">
        <f t="shared" si="2"/>
        <v>0.19766439552663673</v>
      </c>
      <c r="S39" s="49">
        <f t="shared" si="3"/>
        <v>0.010765035809324464</v>
      </c>
      <c r="T39" s="49">
        <f t="shared" si="4"/>
        <v>0.9483516519700491</v>
      </c>
      <c r="U39" s="49">
        <f t="shared" si="5"/>
        <v>0.051648348029950886</v>
      </c>
      <c r="V39" s="49">
        <f>IF(main!J$18=4,U39^2,1)*P39</f>
        <v>3.52213311120366</v>
      </c>
      <c r="W39" s="49">
        <f>IF(main!J$18=4,T39^2,0)*O39/M$4</f>
        <v>0</v>
      </c>
      <c r="X39" s="49">
        <f>IF(main!J$18=4,T39,1)*(-2*M$7*SQRT(M$6*O39)/M$4)</f>
        <v>-3.3030530612244875</v>
      </c>
      <c r="Y39" s="49">
        <f t="shared" si="6"/>
        <v>2.2492398827113065</v>
      </c>
      <c r="Z39" s="49">
        <f>MAX(CHOOSE(main!J$18,M$4-1,Q39,Q39,(1/R39+1/S39)^2/(1/(R39^2*(M$4-1))+1/(S39^2*(Q39)))),2)</f>
        <v>24</v>
      </c>
      <c r="AA39" s="49">
        <f t="shared" si="7"/>
        <v>0.6532819226603791</v>
      </c>
      <c r="AB39" s="49">
        <f t="shared" si="8"/>
        <v>1.3678426855802424</v>
      </c>
      <c r="AC39" s="49">
        <f t="shared" si="9"/>
        <v>1.04342861532727</v>
      </c>
      <c r="AD39" s="152">
        <f t="shared" si="10"/>
        <v>0.09494381404652963</v>
      </c>
    </row>
    <row r="40" spans="14:30" ht="12.75">
      <c r="N40" s="49">
        <f t="shared" si="11"/>
        <v>8.65306122448979</v>
      </c>
      <c r="O40" s="49">
        <f>IF(main!C$24=0,main!C$27^2,IF(main!C$24=1,main!C$28^2,IF(main!C$24=2,(N40*main!C$27)^2,N40*main!C$27)))</f>
        <v>90.59931695127018</v>
      </c>
      <c r="P40" s="49">
        <f t="shared" si="0"/>
        <v>3.6239726780508073</v>
      </c>
      <c r="Q40" s="49">
        <f t="shared" si="1"/>
        <v>47.02925259773872</v>
      </c>
      <c r="R40" s="49">
        <f t="shared" si="2"/>
        <v>0.19556048857770375</v>
      </c>
      <c r="S40" s="49">
        <f t="shared" si="3"/>
        <v>0.010477862079739992</v>
      </c>
      <c r="T40" s="49">
        <f t="shared" si="4"/>
        <v>0.9491460592345726</v>
      </c>
      <c r="U40" s="49">
        <f t="shared" si="5"/>
        <v>0.050853940765427375</v>
      </c>
      <c r="V40" s="49">
        <f>IF(main!J$18=4,U40^2,1)*P40</f>
        <v>3.6239726780508073</v>
      </c>
      <c r="W40" s="49">
        <f>IF(main!J$18=4,T40^2,0)*O40/M$4</f>
        <v>0</v>
      </c>
      <c r="X40" s="49">
        <f>IF(main!J$18=4,T40,1)*(-2*M$7*SQRT(M$6*O40)/M$4)</f>
        <v>-3.3504653061224468</v>
      </c>
      <c r="Y40" s="49">
        <f t="shared" si="6"/>
        <v>2.2613065630135956</v>
      </c>
      <c r="Z40" s="49">
        <f>MAX(CHOOSE(main!J$18,M$4-1,Q40,Q40,(1/R40+1/S40)^2/(1/(R40^2*(M$4-1))+1/(S40^2*(Q40)))),2)</f>
        <v>24</v>
      </c>
      <c r="AA40" s="49">
        <f t="shared" si="7"/>
        <v>0.5956462505088976</v>
      </c>
      <c r="AB40" s="49">
        <f t="shared" si="8"/>
        <v>1.4254783577317238</v>
      </c>
      <c r="AC40" s="49">
        <f t="shared" si="9"/>
        <v>1.04342861532727</v>
      </c>
      <c r="AD40" s="152">
        <f t="shared" si="10"/>
        <v>0.0859461910702074</v>
      </c>
    </row>
    <row r="41" spans="14:30" ht="12.75">
      <c r="N41" s="49">
        <f t="shared" si="11"/>
        <v>8.775510204081627</v>
      </c>
      <c r="O41" s="49">
        <f>IF(main!C$24=0,main!C$27^2,IF(main!C$24=1,main!C$28^2,IF(main!C$24=2,(N41*main!C$27)^2,N41*main!C$27)))</f>
        <v>93.18159100374831</v>
      </c>
      <c r="P41" s="49">
        <f t="shared" si="0"/>
        <v>3.7272636401499324</v>
      </c>
      <c r="Q41" s="49">
        <f t="shared" si="1"/>
        <v>47.20370068302175</v>
      </c>
      <c r="R41" s="49">
        <f t="shared" si="2"/>
        <v>0.19344656846252126</v>
      </c>
      <c r="S41" s="49">
        <f t="shared" si="3"/>
        <v>0.010201834001671737</v>
      </c>
      <c r="T41" s="49">
        <f t="shared" si="4"/>
        <v>0.9499046696255548</v>
      </c>
      <c r="U41" s="49">
        <f t="shared" si="5"/>
        <v>0.050095330374445246</v>
      </c>
      <c r="V41" s="49">
        <f>IF(main!J$18=4,U41^2,1)*P41</f>
        <v>3.7272636401499324</v>
      </c>
      <c r="W41" s="49">
        <f>IF(main!J$18=4,T41^2,0)*O41/M$4</f>
        <v>0</v>
      </c>
      <c r="X41" s="49">
        <f>IF(main!J$18=4,T41,1)*(-2*M$7*SQRT(M$6*O41)/M$4)</f>
        <v>-3.397877551020406</v>
      </c>
      <c r="Y41" s="49">
        <f t="shared" si="6"/>
        <v>2.2736283973265126</v>
      </c>
      <c r="Z41" s="49">
        <f>MAX(CHOOSE(main!J$18,M$4-1,Q41,Q41,(1/R41+1/S41)^2/(1/(R41^2*(M$4-1))+1/(S41^2*(Q41)))),2)</f>
        <v>24</v>
      </c>
      <c r="AA41" s="49">
        <f t="shared" si="7"/>
        <v>0.5385619731694994</v>
      </c>
      <c r="AB41" s="49">
        <f t="shared" si="8"/>
        <v>1.482562635071122</v>
      </c>
      <c r="AC41" s="49">
        <f t="shared" si="9"/>
        <v>1.04342861532727</v>
      </c>
      <c r="AD41" s="152">
        <f t="shared" si="10"/>
        <v>0.07767919819552405</v>
      </c>
    </row>
    <row r="42" spans="14:30" ht="12.75">
      <c r="N42" s="49">
        <f t="shared" si="11"/>
        <v>8.897959183673464</v>
      </c>
      <c r="O42" s="49">
        <f>IF(main!C$24=0,main!C$27^2,IF(main!C$24=1,main!C$28^2,IF(main!C$24=2,(N42*main!C$27)^2,N42*main!C$27)))</f>
        <v>95.80014993752594</v>
      </c>
      <c r="P42" s="49">
        <f t="shared" si="0"/>
        <v>3.832005997501038</v>
      </c>
      <c r="Q42" s="49">
        <f t="shared" si="1"/>
        <v>47.360133061586346</v>
      </c>
      <c r="R42" s="49">
        <f t="shared" si="2"/>
        <v>0.1913247173621548</v>
      </c>
      <c r="S42" s="49">
        <f t="shared" si="3"/>
        <v>0.009936392191593183</v>
      </c>
      <c r="T42" s="49">
        <f t="shared" si="4"/>
        <v>0.9506293480463021</v>
      </c>
      <c r="U42" s="49">
        <f t="shared" si="5"/>
        <v>0.04937065195369794</v>
      </c>
      <c r="V42" s="49">
        <f>IF(main!J$18=4,U42^2,1)*P42</f>
        <v>3.832005997501038</v>
      </c>
      <c r="W42" s="49">
        <f>IF(main!J$18=4,T42^2,0)*O42/M$4</f>
        <v>0</v>
      </c>
      <c r="X42" s="49">
        <f>IF(main!J$18=4,T42,1)*(-2*M$7*SQRT(M$6*O42)/M$4)</f>
        <v>-3.4452897959183657</v>
      </c>
      <c r="Y42" s="49">
        <f t="shared" si="6"/>
        <v>2.2862012600780957</v>
      </c>
      <c r="Z42" s="49">
        <f>MAX(CHOOSE(main!J$18,M$4-1,Q42,Q42,(1/R42+1/S42)^2/(1/(R42^2*(M$4-1))+1/(S42^2*(Q42)))),2)</f>
        <v>24</v>
      </c>
      <c r="AA42" s="49">
        <f t="shared" si="7"/>
        <v>0.4820401578682056</v>
      </c>
      <c r="AB42" s="49">
        <f t="shared" si="8"/>
        <v>1.5390844503724157</v>
      </c>
      <c r="AC42" s="49">
        <f t="shared" si="9"/>
        <v>1.04342861532727</v>
      </c>
      <c r="AD42" s="152">
        <f t="shared" si="10"/>
        <v>0.07010276209867916</v>
      </c>
    </row>
    <row r="43" spans="14:30" ht="12.75">
      <c r="N43" s="49">
        <f t="shared" si="11"/>
        <v>9.020408163265301</v>
      </c>
      <c r="O43" s="49">
        <f>IF(main!C$24=0,main!C$27^2,IF(main!C$24=1,main!C$28^2,IF(main!C$24=2,(N43*main!C$27)^2,N43*main!C$27)))</f>
        <v>98.454993752603</v>
      </c>
      <c r="P43" s="49">
        <f t="shared" si="0"/>
        <v>3.93819975010412</v>
      </c>
      <c r="Q43" s="49">
        <f t="shared" si="1"/>
        <v>47.49870707797859</v>
      </c>
      <c r="R43" s="49">
        <f t="shared" si="2"/>
        <v>0.18919694132924844</v>
      </c>
      <c r="S43" s="49">
        <f t="shared" si="3"/>
        <v>0.009681011283035197</v>
      </c>
      <c r="T43" s="49">
        <f t="shared" si="4"/>
        <v>0.9513218476162186</v>
      </c>
      <c r="U43" s="49">
        <f t="shared" si="5"/>
        <v>0.04867815238378137</v>
      </c>
      <c r="V43" s="49">
        <f>IF(main!J$18=4,U43^2,1)*P43</f>
        <v>3.93819975010412</v>
      </c>
      <c r="W43" s="49">
        <f>IF(main!J$18=4,T43^2,0)*O43/M$4</f>
        <v>0</v>
      </c>
      <c r="X43" s="49">
        <f>IF(main!J$18=4,T43,1)*(-2*M$7*SQRT(M$6*O43)/M$4)</f>
        <v>-3.4927020408163254</v>
      </c>
      <c r="Y43" s="49">
        <f t="shared" si="6"/>
        <v>2.2990210328067455</v>
      </c>
      <c r="Z43" s="49">
        <f>MAX(CHOOSE(main!J$18,M$4-1,Q43,Q43,(1/R43+1/S43)^2/(1/(R43^2*(M$4-1))+1/(S43^2*(Q43)))),2)</f>
        <v>24</v>
      </c>
      <c r="AA43" s="49">
        <f t="shared" si="7"/>
        <v>0.42609085465336954</v>
      </c>
      <c r="AB43" s="49">
        <f t="shared" si="8"/>
        <v>1.5950337535872519</v>
      </c>
      <c r="AC43" s="49">
        <f t="shared" si="9"/>
        <v>1.04342861532727</v>
      </c>
      <c r="AD43" s="152">
        <f t="shared" si="10"/>
        <v>0.06317602087238727</v>
      </c>
    </row>
    <row r="44" spans="14:30" ht="12.75">
      <c r="N44" s="49">
        <f t="shared" si="11"/>
        <v>9.142857142857139</v>
      </c>
      <c r="O44" s="49">
        <f>IF(main!C$24=0,main!C$27^2,IF(main!C$24=1,main!C$28^2,IF(main!C$24=2,(N44*main!C$27)^2,N44*main!C$27)))</f>
        <v>101.14612244897951</v>
      </c>
      <c r="P44" s="49">
        <f t="shared" si="0"/>
        <v>4.045844897959181</v>
      </c>
      <c r="Q44" s="49">
        <f t="shared" si="1"/>
        <v>47.61963611343319</v>
      </c>
      <c r="R44" s="49">
        <f t="shared" si="2"/>
        <v>0.1870651689236653</v>
      </c>
      <c r="S44" s="49">
        <f t="shared" si="3"/>
        <v>0.009435197522971825</v>
      </c>
      <c r="T44" s="49">
        <f t="shared" si="4"/>
        <v>0.9519838171623253</v>
      </c>
      <c r="U44" s="49">
        <f t="shared" si="5"/>
        <v>0.048016182837674726</v>
      </c>
      <c r="V44" s="49">
        <f>IF(main!J$18=4,U44^2,1)*P44</f>
        <v>4.045844897959181</v>
      </c>
      <c r="W44" s="49">
        <f>IF(main!J$18=4,T44^2,0)*O44/M$4</f>
        <v>0</v>
      </c>
      <c r="X44" s="49">
        <f>IF(main!J$18=4,T44,1)*(-2*M$7*SQRT(M$6*O44)/M$4)</f>
        <v>-3.540114285714285</v>
      </c>
      <c r="Y44" s="49">
        <f t="shared" si="6"/>
        <v>2.3120836084027965</v>
      </c>
      <c r="Z44" s="49">
        <f>MAX(CHOOSE(main!J$18,M$4-1,Q44,Q44,(1/R44+1/S44)^2/(1/(R44^2*(M$4-1))+1/(S44^2*(Q44)))),2)</f>
        <v>24</v>
      </c>
      <c r="AA44" s="49">
        <f t="shared" si="7"/>
        <v>0.37072312351843606</v>
      </c>
      <c r="AB44" s="49">
        <f t="shared" si="8"/>
        <v>1.6504014847221853</v>
      </c>
      <c r="AC44" s="49">
        <f t="shared" si="9"/>
        <v>1.04342861532727</v>
      </c>
      <c r="AD44" s="152">
        <f t="shared" si="10"/>
        <v>0.0568578933493562</v>
      </c>
    </row>
    <row r="45" spans="14:30" ht="12.75">
      <c r="N45" s="49">
        <f t="shared" si="11"/>
        <v>9.265306122448976</v>
      </c>
      <c r="O45" s="49">
        <f>IF(main!C$24=0,main!C$27^2,IF(main!C$24=1,main!C$28^2,IF(main!C$24=2,(N45*main!C$27)^2,N45*main!C$27)))</f>
        <v>103.87353602665549</v>
      </c>
      <c r="P45" s="49">
        <f t="shared" si="0"/>
        <v>4.154941441066219</v>
      </c>
      <c r="Q45" s="49">
        <f t="shared" si="1"/>
        <v>47.72318594227246</v>
      </c>
      <c r="R45" s="49">
        <f t="shared" si="2"/>
        <v>0.18493125024801288</v>
      </c>
      <c r="S45" s="49">
        <f t="shared" si="3"/>
        <v>0.009198486559712397</v>
      </c>
      <c r="T45" s="49">
        <f t="shared" si="4"/>
        <v>0.9526168081666799</v>
      </c>
      <c r="U45" s="49">
        <f t="shared" si="5"/>
        <v>0.04738319183332007</v>
      </c>
      <c r="V45" s="49">
        <f>IF(main!J$18=4,U45^2,1)*P45</f>
        <v>4.154941441066219</v>
      </c>
      <c r="W45" s="49">
        <f>IF(main!J$18=4,T45^2,0)*O45/M$4</f>
        <v>0</v>
      </c>
      <c r="X45" s="49">
        <f>IF(main!J$18=4,T45,1)*(-2*M$7*SQRT(M$6*O45)/M$4)</f>
        <v>-3.587526530612244</v>
      </c>
      <c r="Y45" s="49">
        <f t="shared" si="6"/>
        <v>2.32538489512037</v>
      </c>
      <c r="Z45" s="49">
        <f>MAX(CHOOSE(main!J$18,M$4-1,Q45,Q45,(1/R45+1/S45)^2/(1/(R45^2*(M$4-1))+1/(S45^2*(Q45)))),2)</f>
        <v>24</v>
      </c>
      <c r="AA45" s="49">
        <f t="shared" si="7"/>
        <v>0.3159450631560904</v>
      </c>
      <c r="AB45" s="49">
        <f t="shared" si="8"/>
        <v>1.705179545084531</v>
      </c>
      <c r="AC45" s="49">
        <f t="shared" si="9"/>
        <v>1.04342861532727</v>
      </c>
      <c r="AD45" s="152">
        <f t="shared" si="10"/>
        <v>0.051107576125676846</v>
      </c>
    </row>
    <row r="46" spans="14:30" ht="12.75">
      <c r="N46" s="49">
        <f t="shared" si="11"/>
        <v>9.387755102040813</v>
      </c>
      <c r="O46" s="49">
        <f>IF(main!C$24=0,main!C$27^2,IF(main!C$24=1,main!C$28^2,IF(main!C$24=2,(N46*main!C$27)^2,N46*main!C$27)))</f>
        <v>106.63723448563093</v>
      </c>
      <c r="P46" s="49">
        <f t="shared" si="0"/>
        <v>4.265489379425237</v>
      </c>
      <c r="Q46" s="49">
        <f t="shared" si="1"/>
        <v>47.80967085672621</v>
      </c>
      <c r="R46" s="49">
        <f t="shared" si="2"/>
        <v>0.1827969563583497</v>
      </c>
      <c r="S46" s="49">
        <f t="shared" si="3"/>
        <v>0.00897044140549519</v>
      </c>
      <c r="T46" s="49">
        <f t="shared" si="4"/>
        <v>0.9532222812110013</v>
      </c>
      <c r="U46" s="49">
        <f t="shared" si="5"/>
        <v>0.04677771878899872</v>
      </c>
      <c r="V46" s="49">
        <f>IF(main!J$18=4,U46^2,1)*P46</f>
        <v>4.265489379425237</v>
      </c>
      <c r="W46" s="49">
        <f>IF(main!J$18=4,T46^2,0)*O46/M$4</f>
        <v>0</v>
      </c>
      <c r="X46" s="49">
        <f>IF(main!J$18=4,T46,1)*(-2*M$7*SQRT(M$6*O46)/M$4)</f>
        <v>-3.634938775510203</v>
      </c>
      <c r="Y46" s="49">
        <f t="shared" si="6"/>
        <v>2.338920820360329</v>
      </c>
      <c r="Z46" s="49">
        <f>MAX(CHOOSE(main!J$18,M$4-1,Q46,Q46,(1/R46+1/S46)^2/(1/(R46^2*(M$4-1))+1/(S46^2*(Q46)))),2)</f>
        <v>24</v>
      </c>
      <c r="AA46" s="49">
        <f t="shared" si="7"/>
        <v>0.26176384109696604</v>
      </c>
      <c r="AB46" s="49">
        <f t="shared" si="8"/>
        <v>1.7593607671436553</v>
      </c>
      <c r="AC46" s="49">
        <f t="shared" si="9"/>
        <v>1.04342861532727</v>
      </c>
      <c r="AD46" s="152">
        <f t="shared" si="10"/>
        <v>0.04588496839470735</v>
      </c>
    </row>
    <row r="47" spans="14:30" ht="12.75">
      <c r="N47" s="49">
        <f t="shared" si="11"/>
        <v>9.51020408163265</v>
      </c>
      <c r="O47" s="49">
        <f>IF(main!C$24=0,main!C$27^2,IF(main!C$24=1,main!C$28^2,IF(main!C$24=2,(N47*main!C$27)^2,N47*main!C$27)))</f>
        <v>109.43721782590585</v>
      </c>
      <c r="P47" s="49">
        <f t="shared" si="0"/>
        <v>4.377488713036234</v>
      </c>
      <c r="Q47" s="49">
        <f t="shared" si="1"/>
        <v>47.87944961778832</v>
      </c>
      <c r="R47" s="49">
        <f t="shared" si="2"/>
        <v>0.18066397902473902</v>
      </c>
      <c r="S47" s="49">
        <f t="shared" si="3"/>
        <v>0.008750650558569224</v>
      </c>
      <c r="T47" s="49">
        <f t="shared" si="4"/>
        <v>0.9538016119566914</v>
      </c>
      <c r="U47" s="49">
        <f t="shared" si="5"/>
        <v>0.04619838804330856</v>
      </c>
      <c r="V47" s="49">
        <f>IF(main!J$18=4,U47^2,1)*P47</f>
        <v>4.377488713036234</v>
      </c>
      <c r="W47" s="49">
        <f>IF(main!J$18=4,T47^2,0)*O47/M$4</f>
        <v>0</v>
      </c>
      <c r="X47" s="49">
        <f>IF(main!J$18=4,T47,1)*(-2*M$7*SQRT(M$6*O47)/M$4)</f>
        <v>-3.6823510204081633</v>
      </c>
      <c r="Y47" s="49">
        <f t="shared" si="6"/>
        <v>2.352687334226134</v>
      </c>
      <c r="Z47" s="49">
        <f>MAX(CHOOSE(main!J$18,M$4-1,Q47,Q47,(1/R47+1/S47)^2/(1/(R47^2*(M$4-1))+1/(S47^2*(Q47)))),2)</f>
        <v>24</v>
      </c>
      <c r="AA47" s="49">
        <f t="shared" si="7"/>
        <v>0.2081857249970945</v>
      </c>
      <c r="AB47" s="49">
        <f t="shared" si="8"/>
        <v>1.812938883243527</v>
      </c>
      <c r="AC47" s="49">
        <f t="shared" si="9"/>
        <v>1.04342861532727</v>
      </c>
      <c r="AD47" s="152">
        <f t="shared" si="10"/>
        <v>0.0411510265712387</v>
      </c>
    </row>
    <row r="48" spans="14:30" ht="12.75">
      <c r="N48" s="49">
        <f t="shared" si="11"/>
        <v>9.632653061224488</v>
      </c>
      <c r="O48" s="49">
        <f>IF(main!C$24=0,main!C$27^2,IF(main!C$24=1,main!C$28^2,IF(main!C$24=2,(N48*main!C$27)^2,N48*main!C$27)))</f>
        <v>112.2734860474802</v>
      </c>
      <c r="P48" s="49">
        <f t="shared" si="0"/>
        <v>4.490939441899208</v>
      </c>
      <c r="Q48" s="49">
        <f t="shared" si="1"/>
        <v>47.93292128818676</v>
      </c>
      <c r="R48" s="49">
        <f t="shared" si="2"/>
        <v>0.1785339308159826</v>
      </c>
      <c r="S48" s="49">
        <f t="shared" si="3"/>
        <v>0.008538726270982826</v>
      </c>
      <c r="T48" s="49">
        <f t="shared" si="4"/>
        <v>0.9543560966955562</v>
      </c>
      <c r="U48" s="49">
        <f t="shared" si="5"/>
        <v>0.04564390330444379</v>
      </c>
      <c r="V48" s="49">
        <f>IF(main!J$18=4,U48^2,1)*P48</f>
        <v>4.490939441899208</v>
      </c>
      <c r="W48" s="49">
        <f>IF(main!J$18=4,T48^2,0)*O48/M$4</f>
        <v>0</v>
      </c>
      <c r="X48" s="49">
        <f>IF(main!J$18=4,T48,1)*(-2*M$7*SQRT(M$6*O48)/M$4)</f>
        <v>-3.7297632653061226</v>
      </c>
      <c r="Y48" s="49">
        <f t="shared" si="6"/>
        <v>2.3666804128553323</v>
      </c>
      <c r="Z48" s="49">
        <f>MAX(CHOOSE(main!J$18,M$4-1,Q48,Q48,(1/R48+1/S48)^2/(1/(R48^2*(M$4-1))+1/(S48^2*(Q48)))),2)</f>
        <v>24</v>
      </c>
      <c r="AA48" s="49">
        <f t="shared" si="7"/>
        <v>0.15521611485021689</v>
      </c>
      <c r="AB48" s="49">
        <f t="shared" si="8"/>
        <v>1.8659084933904044</v>
      </c>
      <c r="AC48" s="49">
        <f t="shared" si="9"/>
        <v>1.04342861532727</v>
      </c>
      <c r="AD48" s="152">
        <f t="shared" si="10"/>
        <v>0.03686805217215816</v>
      </c>
    </row>
    <row r="49" spans="14:30" ht="12.75">
      <c r="N49" s="49">
        <f t="shared" si="11"/>
        <v>9.755102040816325</v>
      </c>
      <c r="O49" s="49">
        <f>IF(main!C$24=0,main!C$27^2,IF(main!C$24=1,main!C$28^2,IF(main!C$24=2,(N49*main!C$27)^2,N49*main!C$27)))</f>
        <v>115.14603915035401</v>
      </c>
      <c r="P49" s="49">
        <f t="shared" si="0"/>
        <v>4.605841566014161</v>
      </c>
      <c r="Q49" s="49">
        <f t="shared" si="1"/>
        <v>47.970521001070864</v>
      </c>
      <c r="R49" s="49">
        <f t="shared" si="2"/>
        <v>0.17640834548280607</v>
      </c>
      <c r="S49" s="49">
        <f t="shared" si="3"/>
        <v>0.008334302949586527</v>
      </c>
      <c r="T49" s="49">
        <f t="shared" si="4"/>
        <v>0.9548869575038245</v>
      </c>
      <c r="U49" s="49">
        <f t="shared" si="5"/>
        <v>0.04511304249617554</v>
      </c>
      <c r="V49" s="49">
        <f>IF(main!J$18=4,U49^2,1)*P49</f>
        <v>4.605841566014161</v>
      </c>
      <c r="W49" s="49">
        <f>IF(main!J$18=4,T49^2,0)*O49/M$4</f>
        <v>0</v>
      </c>
      <c r="X49" s="49">
        <f>IF(main!J$18=4,T49,1)*(-2*M$7*SQRT(M$6*O49)/M$4)</f>
        <v>-3.777175510204082</v>
      </c>
      <c r="Y49" s="49">
        <f t="shared" si="6"/>
        <v>2.380896061530213</v>
      </c>
      <c r="Z49" s="49">
        <f>MAX(CHOOSE(main!J$18,M$4-1,Q49,Q49,(1/R49+1/S49)^2/(1/(R49^2*(M$4-1))+1/(S49^2*(Q49)))),2)</f>
        <v>24</v>
      </c>
      <c r="AA49" s="49">
        <f t="shared" si="7"/>
        <v>0.10285957591373292</v>
      </c>
      <c r="AB49" s="49">
        <f t="shared" si="8"/>
        <v>1.9182650323268884</v>
      </c>
      <c r="AC49" s="49">
        <f t="shared" si="9"/>
        <v>1.04342861532727</v>
      </c>
      <c r="AD49" s="152">
        <f t="shared" si="10"/>
        <v>0.032999917538781176</v>
      </c>
    </row>
    <row r="50" spans="14:30" ht="12.75">
      <c r="N50" s="49">
        <f t="shared" si="11"/>
        <v>9.877551020408163</v>
      </c>
      <c r="O50" s="49">
        <f>IF(main!C$24=0,main!C$27^2,IF(main!C$24=1,main!C$28^2,IF(main!C$24=2,(N50*main!C$27)^2,N50*main!C$27)))</f>
        <v>118.05487713452727</v>
      </c>
      <c r="P50" s="49">
        <f t="shared" si="0"/>
        <v>4.722195085381091</v>
      </c>
      <c r="Q50" s="49">
        <f t="shared" si="1"/>
        <v>47.9927157147599</v>
      </c>
      <c r="R50" s="49">
        <f t="shared" si="2"/>
        <v>0.17428867861394146</v>
      </c>
      <c r="S50" s="49">
        <f t="shared" si="3"/>
        <v>0.008137035678918875</v>
      </c>
      <c r="T50" s="49">
        <f t="shared" si="4"/>
        <v>0.9553953470295534</v>
      </c>
      <c r="U50" s="49">
        <f t="shared" si="5"/>
        <v>0.04460465297044658</v>
      </c>
      <c r="V50" s="49">
        <f>IF(main!J$18=4,U50^2,1)*P50</f>
        <v>4.722195085381091</v>
      </c>
      <c r="W50" s="49">
        <f>IF(main!J$18=4,T50^2,0)*O50/M$4</f>
        <v>0</v>
      </c>
      <c r="X50" s="49">
        <f>IF(main!J$18=4,T50,1)*(-2*M$7*SQRT(M$6*O50)/M$4)</f>
        <v>-3.8245877551020406</v>
      </c>
      <c r="Y50" s="49">
        <f t="shared" si="6"/>
        <v>2.39533031757189</v>
      </c>
      <c r="Z50" s="49">
        <f>MAX(CHOOSE(main!J$18,M$4-1,Q50,Q50,(1/R50+1/S50)^2/(1/(R50^2*(M$4-1))+1/(S50^2*(Q50)))),2)</f>
        <v>24</v>
      </c>
      <c r="AA50" s="49">
        <f t="shared" si="7"/>
        <v>0.051119872150226855</v>
      </c>
      <c r="AB50" s="49">
        <f t="shared" si="8"/>
        <v>1.9700047360903945</v>
      </c>
      <c r="AC50" s="49">
        <f t="shared" si="9"/>
        <v>1.04342861532727</v>
      </c>
      <c r="AD50" s="152">
        <f t="shared" si="10"/>
        <v>0.029512234765620038</v>
      </c>
    </row>
    <row r="51" spans="14:30" ht="12.75">
      <c r="N51" s="49">
        <f>N50+M$10</f>
        <v>10</v>
      </c>
      <c r="O51" s="49">
        <f>IF(main!C$24=0,main!C$27^2,IF(main!C$24=1,main!C$28^2,IF(main!C$24=2,(N51*main!C$27)^2,N51*main!C$27)))</f>
        <v>121</v>
      </c>
      <c r="P51" s="49">
        <f>O51/M$5</f>
        <v>4.84</v>
      </c>
      <c r="Q51" s="49">
        <f t="shared" si="1"/>
        <v>48</v>
      </c>
      <c r="R51" s="49">
        <f>M$4/(M$6+O51-2*M$7*SQRT(M$6*O51))</f>
        <v>0.17217630853994492</v>
      </c>
      <c r="S51" s="49">
        <f>(M$11+O51)^-1</f>
        <v>0.007946598855689765</v>
      </c>
      <c r="T51" s="49">
        <f>R51/(R51+S51)</f>
        <v>0.9558823529411764</v>
      </c>
      <c r="U51" s="49">
        <f t="shared" si="5"/>
        <v>0.044117647058823595</v>
      </c>
      <c r="V51" s="49">
        <f>IF(main!J$18=4,U51^2,1)*P51</f>
        <v>4.84</v>
      </c>
      <c r="W51" s="49">
        <f>IF(main!J$18=4,T51^2,0)*O51/M$4</f>
        <v>0</v>
      </c>
      <c r="X51" s="49">
        <f>IF(main!J$18=4,T51,1)*(-2*M$7*SQRT(M$6*O51)/M$4)</f>
        <v>-3.8720000000000003</v>
      </c>
      <c r="Y51" s="49">
        <f t="shared" si="6"/>
        <v>2.409979253022731</v>
      </c>
      <c r="Z51" s="49">
        <f>MAX(CHOOSE(main!J$18,M$4-1,Q51,Q51,(1/R51+1/S51)^2/(1/(R51^2*(M$4-1))+1/(S51^2*(Q51)))),2)</f>
        <v>24</v>
      </c>
      <c r="AA51" s="49">
        <f>ABS(N51-M$9)/Y51</f>
        <v>0</v>
      </c>
      <c r="AB51" s="49">
        <f>M$8*(1-1/(4*Z51))^2-AA51</f>
        <v>2.0211246082406213</v>
      </c>
      <c r="AC51" s="49">
        <f t="shared" si="9"/>
        <v>1.04342861532727</v>
      </c>
      <c r="AD51" s="152">
        <f>1-NORMSDIST(AB51/AC51)</f>
        <v>0.026372473677332198</v>
      </c>
    </row>
  </sheetData>
  <sheetProtection sheet="1" objects="1" scenarios="1"/>
  <mergeCells count="6">
    <mergeCell ref="G25:J27"/>
    <mergeCell ref="D11:D13"/>
    <mergeCell ref="D15:D17"/>
    <mergeCell ref="B4:D6"/>
    <mergeCell ref="B19:C19"/>
    <mergeCell ref="B18:C18"/>
  </mergeCell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6">
    <tabColor indexed="11"/>
  </sheetPr>
  <dimension ref="A2:T238"/>
  <sheetViews>
    <sheetView showGridLines="0" showRowColHeaders="0" tabSelected="1" zoomScale="122" zoomScaleNormal="122" zoomScalePageLayoutView="0" workbookViewId="0" topLeftCell="B2">
      <selection activeCell="H32" sqref="H31:H32"/>
    </sheetView>
  </sheetViews>
  <sheetFormatPr defaultColWidth="9.140625" defaultRowHeight="12.75"/>
  <cols>
    <col min="1" max="1" width="9.7109375" style="0" customWidth="1"/>
    <col min="3" max="3" width="3.7109375" style="1" customWidth="1"/>
    <col min="4" max="4" width="9.140625" style="49" customWidth="1"/>
    <col min="5" max="5" width="9.28125" style="0" customWidth="1"/>
    <col min="6" max="7" width="9.7109375" style="0" customWidth="1"/>
    <col min="12" max="13" width="9.28125" style="0" customWidth="1"/>
    <col min="14" max="15" width="9.7109375" style="0" customWidth="1"/>
  </cols>
  <sheetData>
    <row r="1" ht="13.5" thickBot="1"/>
    <row r="2" spans="1:5" ht="12.75">
      <c r="A2" s="199" t="s">
        <v>75</v>
      </c>
      <c r="B2" s="201" t="s">
        <v>34</v>
      </c>
      <c r="C2" s="80"/>
      <c r="D2" s="203" t="str">
        <f>IF(F3=TRUE,"Standard deviations are entered.","Variances are entered.")</f>
        <v>Standard deviations are entered.</v>
      </c>
      <c r="E2" s="204"/>
    </row>
    <row r="3" spans="1:6" ht="13.5" thickBot="1">
      <c r="A3" s="200"/>
      <c r="B3" s="202"/>
      <c r="C3" s="81"/>
      <c r="D3" s="203"/>
      <c r="E3" s="204"/>
      <c r="F3" t="b">
        <v>1</v>
      </c>
    </row>
    <row r="4" spans="1:20" ht="12.75" customHeight="1">
      <c r="A4" s="100">
        <v>4.08</v>
      </c>
      <c r="B4" s="100">
        <v>3.79</v>
      </c>
      <c r="C4" s="83"/>
      <c r="D4" s="203"/>
      <c r="E4" s="204"/>
      <c r="I4" s="61"/>
      <c r="J4" s="61"/>
      <c r="K4" s="61"/>
      <c r="L4" s="61"/>
      <c r="M4" s="61"/>
      <c r="P4">
        <f aca="true" t="shared" si="0" ref="P4:P35">IF(B4&gt;0,B4," ")</f>
        <v>3.79</v>
      </c>
      <c r="Q4">
        <f aca="true" t="shared" si="1" ref="Q4:Q35">IF(B4&gt;0,IF(F$3=TRUE,A4,SQRT(A4))," ")</f>
        <v>4.08</v>
      </c>
      <c r="R4">
        <f aca="true" t="shared" si="2" ref="R4:R35">IF(B4&gt;0,IF(F$3=TRUE,A4^2,A4)," ")</f>
        <v>16.6464</v>
      </c>
      <c r="S4">
        <f aca="true" t="shared" si="3" ref="S4:S35">IF(B4&gt;0,Q4/P4," ")</f>
        <v>1.0765171503957784</v>
      </c>
      <c r="T4">
        <f aca="true" t="shared" si="4" ref="T4:T35">IF(B4&gt;0,R4/P4," ")</f>
        <v>4.392189973614776</v>
      </c>
    </row>
    <row r="5" spans="1:20" ht="12.75" customHeight="1">
      <c r="A5" s="100">
        <v>1.86</v>
      </c>
      <c r="B5" s="100">
        <v>1.2</v>
      </c>
      <c r="C5" s="83"/>
      <c r="E5" s="65"/>
      <c r="F5" s="53"/>
      <c r="I5" s="61"/>
      <c r="J5" s="61"/>
      <c r="K5" s="61"/>
      <c r="L5" s="61"/>
      <c r="M5" s="61"/>
      <c r="P5">
        <f t="shared" si="0"/>
        <v>1.2</v>
      </c>
      <c r="Q5">
        <f t="shared" si="1"/>
        <v>1.86</v>
      </c>
      <c r="R5">
        <f t="shared" si="2"/>
        <v>3.4596000000000005</v>
      </c>
      <c r="S5">
        <f t="shared" si="3"/>
        <v>1.55</v>
      </c>
      <c r="T5">
        <f t="shared" si="4"/>
        <v>2.8830000000000005</v>
      </c>
    </row>
    <row r="6" spans="1:20" ht="15.75">
      <c r="A6" s="100">
        <v>5.95</v>
      </c>
      <c r="B6" s="100">
        <v>5.78</v>
      </c>
      <c r="C6" s="83"/>
      <c r="D6" s="49">
        <f aca="true" t="shared" si="5" ref="D6:D20">IF(ROW(D6)-($J$10+2)&gt;0," ",(A6-($F$5+$F$6*B6))^2)</f>
        <v>35.4025</v>
      </c>
      <c r="E6" s="65"/>
      <c r="F6" s="53"/>
      <c r="I6" s="64"/>
      <c r="J6" s="64"/>
      <c r="K6" s="64"/>
      <c r="L6" s="64"/>
      <c r="M6" s="64"/>
      <c r="P6">
        <f t="shared" si="0"/>
        <v>5.78</v>
      </c>
      <c r="Q6">
        <f t="shared" si="1"/>
        <v>5.95</v>
      </c>
      <c r="R6">
        <f t="shared" si="2"/>
        <v>35.4025</v>
      </c>
      <c r="S6">
        <f t="shared" si="3"/>
        <v>1.0294117647058822</v>
      </c>
      <c r="T6">
        <f t="shared" si="4"/>
        <v>6.125</v>
      </c>
    </row>
    <row r="7" spans="1:20" ht="15.75">
      <c r="A7" s="100">
        <v>10.97</v>
      </c>
      <c r="B7" s="100">
        <v>9.51</v>
      </c>
      <c r="C7" s="83"/>
      <c r="D7" s="49">
        <f t="shared" si="5"/>
        <v>120.34090000000002</v>
      </c>
      <c r="E7" s="65"/>
      <c r="F7" s="53"/>
      <c r="H7" s="84">
        <f>SUM(D4:D203)/(J10-2)</f>
        <v>51.91446666666667</v>
      </c>
      <c r="I7">
        <f>MIN(B4:B203)</f>
        <v>1.2</v>
      </c>
      <c r="J7">
        <f>F5+F6*I7</f>
        <v>0</v>
      </c>
      <c r="P7">
        <f t="shared" si="0"/>
        <v>9.51</v>
      </c>
      <c r="Q7">
        <f t="shared" si="1"/>
        <v>10.97</v>
      </c>
      <c r="R7">
        <f t="shared" si="2"/>
        <v>120.34090000000002</v>
      </c>
      <c r="S7">
        <f t="shared" si="3"/>
        <v>1.153522607781283</v>
      </c>
      <c r="T7">
        <f t="shared" si="4"/>
        <v>12.654143007360675</v>
      </c>
    </row>
    <row r="8" spans="1:20" ht="15.75">
      <c r="A8" s="100">
        <v>9.1</v>
      </c>
      <c r="B8" s="100">
        <v>8.81</v>
      </c>
      <c r="C8" s="83"/>
      <c r="D8" s="49" t="str">
        <f t="shared" si="5"/>
        <v> </v>
      </c>
      <c r="E8" s="65"/>
      <c r="F8" s="85"/>
      <c r="I8">
        <f>MAX(B4:B203)</f>
        <v>9.51</v>
      </c>
      <c r="J8">
        <f>F5+F6*I8</f>
        <v>0</v>
      </c>
      <c r="K8" s="67"/>
      <c r="L8" s="67"/>
      <c r="P8">
        <f t="shared" si="0"/>
        <v>8.81</v>
      </c>
      <c r="Q8">
        <f t="shared" si="1"/>
        <v>9.1</v>
      </c>
      <c r="R8">
        <f t="shared" si="2"/>
        <v>82.80999999999999</v>
      </c>
      <c r="S8">
        <f t="shared" si="3"/>
        <v>1.0329171396140748</v>
      </c>
      <c r="T8">
        <f t="shared" si="4"/>
        <v>9.399545970488079</v>
      </c>
    </row>
    <row r="9" spans="1:20" ht="12.75" customHeight="1">
      <c r="A9" s="100"/>
      <c r="B9" s="100"/>
      <c r="C9" s="83"/>
      <c r="D9" s="49" t="str">
        <f t="shared" si="5"/>
        <v> </v>
      </c>
      <c r="E9" s="1"/>
      <c r="F9" s="1"/>
      <c r="J9" s="67"/>
      <c r="K9" s="67"/>
      <c r="L9" s="67"/>
      <c r="P9" t="str">
        <f t="shared" si="0"/>
        <v> </v>
      </c>
      <c r="Q9" t="str">
        <f t="shared" si="1"/>
        <v> </v>
      </c>
      <c r="R9" t="str">
        <f t="shared" si="2"/>
        <v> </v>
      </c>
      <c r="S9" t="str">
        <f t="shared" si="3"/>
        <v> </v>
      </c>
      <c r="T9" t="str">
        <f t="shared" si="4"/>
        <v> </v>
      </c>
    </row>
    <row r="10" spans="1:20" ht="12.75">
      <c r="A10" s="100"/>
      <c r="B10" s="100"/>
      <c r="C10" s="86"/>
      <c r="D10" s="49" t="str">
        <f t="shared" si="5"/>
        <v> </v>
      </c>
      <c r="E10" s="1"/>
      <c r="F10" s="1"/>
      <c r="J10">
        <f>COUNT(A4:A203)</f>
        <v>5</v>
      </c>
      <c r="P10" t="str">
        <f t="shared" si="0"/>
        <v> </v>
      </c>
      <c r="Q10" t="str">
        <f t="shared" si="1"/>
        <v> </v>
      </c>
      <c r="R10" t="str">
        <f t="shared" si="2"/>
        <v> </v>
      </c>
      <c r="S10" t="str">
        <f t="shared" si="3"/>
        <v> </v>
      </c>
      <c r="T10" t="str">
        <f t="shared" si="4"/>
        <v> </v>
      </c>
    </row>
    <row r="11" spans="1:20" ht="12.75" customHeight="1">
      <c r="A11" s="100"/>
      <c r="B11" s="100"/>
      <c r="C11" s="87"/>
      <c r="D11" s="49" t="str">
        <f t="shared" si="5"/>
        <v> </v>
      </c>
      <c r="E11" s="65"/>
      <c r="F11" s="1"/>
      <c r="H11" s="73"/>
      <c r="P11" t="str">
        <f t="shared" si="0"/>
        <v> </v>
      </c>
      <c r="Q11" t="str">
        <f t="shared" si="1"/>
        <v> </v>
      </c>
      <c r="R11" t="str">
        <f t="shared" si="2"/>
        <v> </v>
      </c>
      <c r="S11" t="str">
        <f t="shared" si="3"/>
        <v> </v>
      </c>
      <c r="T11" t="str">
        <f t="shared" si="4"/>
        <v> </v>
      </c>
    </row>
    <row r="12" spans="1:20" ht="12.75">
      <c r="A12" s="100"/>
      <c r="B12" s="100"/>
      <c r="C12" s="77"/>
      <c r="D12" s="49" t="str">
        <f t="shared" si="5"/>
        <v> </v>
      </c>
      <c r="E12" s="65"/>
      <c r="F12" s="77"/>
      <c r="H12" s="73"/>
      <c r="P12" t="str">
        <f t="shared" si="0"/>
        <v> </v>
      </c>
      <c r="Q12" t="str">
        <f t="shared" si="1"/>
        <v> </v>
      </c>
      <c r="R12" t="str">
        <f t="shared" si="2"/>
        <v> </v>
      </c>
      <c r="S12" t="str">
        <f t="shared" si="3"/>
        <v> </v>
      </c>
      <c r="T12" t="str">
        <f t="shared" si="4"/>
        <v> </v>
      </c>
    </row>
    <row r="13" spans="1:20" ht="12.75" customHeight="1">
      <c r="A13" s="100"/>
      <c r="B13" s="100"/>
      <c r="C13" s="77"/>
      <c r="D13" s="49" t="str">
        <f t="shared" si="5"/>
        <v> </v>
      </c>
      <c r="E13" s="1"/>
      <c r="F13" s="1"/>
      <c r="H13" s="73"/>
      <c r="P13" t="str">
        <f t="shared" si="0"/>
        <v> </v>
      </c>
      <c r="Q13" t="str">
        <f t="shared" si="1"/>
        <v> </v>
      </c>
      <c r="R13" t="str">
        <f t="shared" si="2"/>
        <v> </v>
      </c>
      <c r="S13" t="str">
        <f t="shared" si="3"/>
        <v> </v>
      </c>
      <c r="T13" t="str">
        <f t="shared" si="4"/>
        <v> </v>
      </c>
    </row>
    <row r="14" spans="1:20" ht="12.75">
      <c r="A14" s="100"/>
      <c r="B14" s="100"/>
      <c r="C14" s="77"/>
      <c r="D14" s="49" t="str">
        <f t="shared" si="5"/>
        <v> </v>
      </c>
      <c r="E14" s="65"/>
      <c r="F14" s="65"/>
      <c r="P14" t="str">
        <f t="shared" si="0"/>
        <v> </v>
      </c>
      <c r="Q14" t="str">
        <f t="shared" si="1"/>
        <v> </v>
      </c>
      <c r="R14" t="str">
        <f t="shared" si="2"/>
        <v> </v>
      </c>
      <c r="S14" t="str">
        <f t="shared" si="3"/>
        <v> </v>
      </c>
      <c r="T14" t="str">
        <f t="shared" si="4"/>
        <v> </v>
      </c>
    </row>
    <row r="15" spans="1:20" ht="12.75" customHeight="1">
      <c r="A15" s="100"/>
      <c r="B15" s="100"/>
      <c r="C15" s="77"/>
      <c r="D15" s="49" t="str">
        <f t="shared" si="5"/>
        <v> </v>
      </c>
      <c r="E15" s="65"/>
      <c r="F15" s="77"/>
      <c r="P15" t="str">
        <f t="shared" si="0"/>
        <v> </v>
      </c>
      <c r="Q15" t="str">
        <f t="shared" si="1"/>
        <v> </v>
      </c>
      <c r="R15" t="str">
        <f t="shared" si="2"/>
        <v> </v>
      </c>
      <c r="S15" t="str">
        <f t="shared" si="3"/>
        <v> </v>
      </c>
      <c r="T15" t="str">
        <f t="shared" si="4"/>
        <v> </v>
      </c>
    </row>
    <row r="16" spans="1:20" ht="12.75" customHeight="1">
      <c r="A16" s="100"/>
      <c r="B16" s="100"/>
      <c r="C16" s="77"/>
      <c r="D16" s="49" t="str">
        <f t="shared" si="5"/>
        <v> </v>
      </c>
      <c r="E16" s="1"/>
      <c r="F16" s="1"/>
      <c r="P16" t="str">
        <f t="shared" si="0"/>
        <v> </v>
      </c>
      <c r="Q16" t="str">
        <f t="shared" si="1"/>
        <v> </v>
      </c>
      <c r="R16" t="str">
        <f t="shared" si="2"/>
        <v> </v>
      </c>
      <c r="S16" t="str">
        <f t="shared" si="3"/>
        <v> </v>
      </c>
      <c r="T16" t="str">
        <f t="shared" si="4"/>
        <v> </v>
      </c>
    </row>
    <row r="17" spans="1:20" ht="12.75">
      <c r="A17" s="100"/>
      <c r="B17" s="100"/>
      <c r="C17" s="77"/>
      <c r="D17" s="49" t="str">
        <f t="shared" si="5"/>
        <v> </v>
      </c>
      <c r="E17" s="65"/>
      <c r="F17" s="1"/>
      <c r="P17" t="str">
        <f t="shared" si="0"/>
        <v> </v>
      </c>
      <c r="Q17" t="str">
        <f t="shared" si="1"/>
        <v> </v>
      </c>
      <c r="R17" t="str">
        <f t="shared" si="2"/>
        <v> </v>
      </c>
      <c r="S17" t="str">
        <f t="shared" si="3"/>
        <v> </v>
      </c>
      <c r="T17" t="str">
        <f t="shared" si="4"/>
        <v> </v>
      </c>
    </row>
    <row r="18" spans="1:20" ht="12.75">
      <c r="A18" s="100"/>
      <c r="B18" s="100"/>
      <c r="C18" s="77"/>
      <c r="D18" s="49" t="str">
        <f t="shared" si="5"/>
        <v> </v>
      </c>
      <c r="E18" s="65"/>
      <c r="F18" s="53"/>
      <c r="G18" s="49" t="s">
        <v>88</v>
      </c>
      <c r="P18" t="str">
        <f t="shared" si="0"/>
        <v> </v>
      </c>
      <c r="Q18" t="str">
        <f t="shared" si="1"/>
        <v> </v>
      </c>
      <c r="R18" t="str">
        <f t="shared" si="2"/>
        <v> </v>
      </c>
      <c r="S18" t="str">
        <f t="shared" si="3"/>
        <v> </v>
      </c>
      <c r="T18" t="str">
        <f t="shared" si="4"/>
        <v> </v>
      </c>
    </row>
    <row r="19" spans="1:20" ht="12.75">
      <c r="A19" s="100"/>
      <c r="B19" s="100"/>
      <c r="C19" s="77"/>
      <c r="D19" s="49" t="str">
        <f t="shared" si="5"/>
        <v> </v>
      </c>
      <c r="G19" t="s">
        <v>87</v>
      </c>
      <c r="P19" t="str">
        <f t="shared" si="0"/>
        <v> </v>
      </c>
      <c r="Q19" t="str">
        <f t="shared" si="1"/>
        <v> </v>
      </c>
      <c r="R19" t="str">
        <f t="shared" si="2"/>
        <v> </v>
      </c>
      <c r="S19" t="str">
        <f t="shared" si="3"/>
        <v> </v>
      </c>
      <c r="T19" t="str">
        <f t="shared" si="4"/>
        <v> </v>
      </c>
    </row>
    <row r="20" spans="1:20" ht="12.75" customHeight="1">
      <c r="A20" s="100"/>
      <c r="B20" s="100"/>
      <c r="C20" s="77"/>
      <c r="D20" s="49" t="str">
        <f t="shared" si="5"/>
        <v> </v>
      </c>
      <c r="P20" t="str">
        <f t="shared" si="0"/>
        <v> </v>
      </c>
      <c r="Q20" t="str">
        <f t="shared" si="1"/>
        <v> </v>
      </c>
      <c r="R20" t="str">
        <f t="shared" si="2"/>
        <v> </v>
      </c>
      <c r="S20" t="str">
        <f t="shared" si="3"/>
        <v> </v>
      </c>
      <c r="T20" t="str">
        <f t="shared" si="4"/>
        <v> </v>
      </c>
    </row>
    <row r="21" spans="1:20" ht="12.75">
      <c r="A21" s="100"/>
      <c r="B21" s="100"/>
      <c r="C21" s="77"/>
      <c r="D21"/>
      <c r="E21" s="88" t="s">
        <v>76</v>
      </c>
      <c r="F21" s="89" t="s">
        <v>77</v>
      </c>
      <c r="H21" s="90">
        <f>CORREL(P4:P103,Q4:Q103)</f>
        <v>0.9909982252840225</v>
      </c>
      <c r="I21" s="91" t="s">
        <v>69</v>
      </c>
      <c r="J21" s="92">
        <f>CORREL(P4:P103,R4:R103)</f>
        <v>0.9489445361960196</v>
      </c>
      <c r="M21" s="88" t="s">
        <v>76</v>
      </c>
      <c r="N21" s="89" t="s">
        <v>77</v>
      </c>
      <c r="P21" t="str">
        <f t="shared" si="0"/>
        <v> </v>
      </c>
      <c r="Q21" t="str">
        <f t="shared" si="1"/>
        <v> </v>
      </c>
      <c r="R21" t="str">
        <f t="shared" si="2"/>
        <v> </v>
      </c>
      <c r="S21" t="str">
        <f t="shared" si="3"/>
        <v> </v>
      </c>
      <c r="T21" t="str">
        <f t="shared" si="4"/>
        <v> </v>
      </c>
    </row>
    <row r="22" spans="1:20" ht="12.75" customHeight="1">
      <c r="A22" s="100"/>
      <c r="B22" s="100"/>
      <c r="C22" s="77"/>
      <c r="D22" s="93" t="s">
        <v>78</v>
      </c>
      <c r="E22" s="94">
        <f>MIN(B4:B103)</f>
        <v>1.2</v>
      </c>
      <c r="F22" s="95">
        <v>0</v>
      </c>
      <c r="L22" s="93" t="s">
        <v>78</v>
      </c>
      <c r="M22" s="94">
        <f>MIN(B4:B203)</f>
        <v>1.2</v>
      </c>
      <c r="N22" s="95">
        <v>0</v>
      </c>
      <c r="P22" t="str">
        <f t="shared" si="0"/>
        <v> </v>
      </c>
      <c r="Q22" t="str">
        <f t="shared" si="1"/>
        <v> </v>
      </c>
      <c r="R22" t="str">
        <f t="shared" si="2"/>
        <v> </v>
      </c>
      <c r="S22" t="str">
        <f t="shared" si="3"/>
        <v> </v>
      </c>
      <c r="T22" t="str">
        <f t="shared" si="4"/>
        <v> </v>
      </c>
    </row>
    <row r="23" spans="1:20" ht="12.75">
      <c r="A23" s="100"/>
      <c r="B23" s="100"/>
      <c r="C23" s="77"/>
      <c r="D23" s="93" t="s">
        <v>79</v>
      </c>
      <c r="E23" s="94">
        <f>MAX(B4:B103)</f>
        <v>9.51</v>
      </c>
      <c r="F23" s="95">
        <v>12</v>
      </c>
      <c r="H23" s="205" t="s">
        <v>80</v>
      </c>
      <c r="I23" s="206"/>
      <c r="J23" s="206"/>
      <c r="L23" s="93" t="s">
        <v>79</v>
      </c>
      <c r="M23" s="94">
        <f>MAX(B4:B203)</f>
        <v>9.51</v>
      </c>
      <c r="N23" s="95">
        <v>12</v>
      </c>
      <c r="P23" t="str">
        <f t="shared" si="0"/>
        <v> </v>
      </c>
      <c r="Q23" t="str">
        <f t="shared" si="1"/>
        <v> </v>
      </c>
      <c r="R23" t="str">
        <f t="shared" si="2"/>
        <v> </v>
      </c>
      <c r="S23" t="str">
        <f t="shared" si="3"/>
        <v> </v>
      </c>
      <c r="T23" t="str">
        <f t="shared" si="4"/>
        <v> </v>
      </c>
    </row>
    <row r="24" spans="1:20" ht="12.75">
      <c r="A24" s="100"/>
      <c r="B24" s="100"/>
      <c r="C24" s="77"/>
      <c r="D24" s="93" t="s">
        <v>81</v>
      </c>
      <c r="E24" s="94">
        <f>MIN(Q4:Q103)</f>
        <v>1.86</v>
      </c>
      <c r="F24" s="95">
        <v>0</v>
      </c>
      <c r="H24" s="206"/>
      <c r="I24" s="206"/>
      <c r="J24" s="206"/>
      <c r="L24" s="93" t="s">
        <v>81</v>
      </c>
      <c r="M24" s="94">
        <f>MIN(R4:R203)</f>
        <v>3.4596000000000005</v>
      </c>
      <c r="N24" s="95">
        <v>0</v>
      </c>
      <c r="P24" t="str">
        <f t="shared" si="0"/>
        <v> </v>
      </c>
      <c r="Q24" t="str">
        <f t="shared" si="1"/>
        <v> </v>
      </c>
      <c r="R24" t="str">
        <f t="shared" si="2"/>
        <v> </v>
      </c>
      <c r="S24" t="str">
        <f t="shared" si="3"/>
        <v> </v>
      </c>
      <c r="T24" t="str">
        <f t="shared" si="4"/>
        <v> </v>
      </c>
    </row>
    <row r="25" spans="1:20" ht="12.75" customHeight="1" thickBot="1">
      <c r="A25" s="100"/>
      <c r="B25" s="100"/>
      <c r="C25" s="77"/>
      <c r="D25" s="93" t="s">
        <v>82</v>
      </c>
      <c r="E25" s="94">
        <f>MAX(Q4:Q103)</f>
        <v>10.97</v>
      </c>
      <c r="F25" s="95">
        <v>12</v>
      </c>
      <c r="I25" s="96" t="s">
        <v>83</v>
      </c>
      <c r="J25" s="96" t="s">
        <v>84</v>
      </c>
      <c r="L25" s="93" t="s">
        <v>82</v>
      </c>
      <c r="M25" s="94">
        <f>MAX(R4:R203)</f>
        <v>120.34090000000002</v>
      </c>
      <c r="N25" s="95">
        <v>125</v>
      </c>
      <c r="P25" t="str">
        <f t="shared" si="0"/>
        <v> </v>
      </c>
      <c r="Q25" t="str">
        <f t="shared" si="1"/>
        <v> </v>
      </c>
      <c r="R25" t="str">
        <f t="shared" si="2"/>
        <v> </v>
      </c>
      <c r="S25" t="str">
        <f t="shared" si="3"/>
        <v> </v>
      </c>
      <c r="T25" t="str">
        <f t="shared" si="4"/>
        <v> </v>
      </c>
    </row>
    <row r="26" spans="1:20" ht="12.75" customHeight="1" thickBot="1">
      <c r="A26" s="100"/>
      <c r="B26" s="100"/>
      <c r="C26" s="77"/>
      <c r="D26"/>
      <c r="H26" s="65" t="s">
        <v>85</v>
      </c>
      <c r="I26" s="97">
        <f>AVERAGE(S4:S103)</f>
        <v>1.1684737324994035</v>
      </c>
      <c r="J26" s="97">
        <f>AVERAGE(T4:T103)</f>
        <v>7.090775790292706</v>
      </c>
      <c r="P26" t="str">
        <f t="shared" si="0"/>
        <v> </v>
      </c>
      <c r="Q26" t="str">
        <f t="shared" si="1"/>
        <v> </v>
      </c>
      <c r="R26" t="str">
        <f t="shared" si="2"/>
        <v> </v>
      </c>
      <c r="S26" t="str">
        <f t="shared" si="3"/>
        <v> </v>
      </c>
      <c r="T26" t="str">
        <f t="shared" si="4"/>
        <v> </v>
      </c>
    </row>
    <row r="27" spans="1:20" ht="12.75" customHeight="1" thickBot="1">
      <c r="A27" s="100"/>
      <c r="B27" s="100"/>
      <c r="C27" s="77"/>
      <c r="D27"/>
      <c r="H27" s="65" t="s">
        <v>83</v>
      </c>
      <c r="I27" s="97">
        <f>STDEV(S4:S103)</f>
        <v>0.21906372513308886</v>
      </c>
      <c r="J27" s="97">
        <f>STDEV(T4:T103)</f>
        <v>3.9434103237353497</v>
      </c>
      <c r="P27" t="str">
        <f t="shared" si="0"/>
        <v> </v>
      </c>
      <c r="Q27" t="str">
        <f t="shared" si="1"/>
        <v> </v>
      </c>
      <c r="R27" t="str">
        <f t="shared" si="2"/>
        <v> </v>
      </c>
      <c r="S27" t="str">
        <f t="shared" si="3"/>
        <v> </v>
      </c>
      <c r="T27" t="str">
        <f t="shared" si="4"/>
        <v> </v>
      </c>
    </row>
    <row r="28" spans="1:20" ht="13.5" thickBot="1">
      <c r="A28" s="100"/>
      <c r="B28" s="100"/>
      <c r="C28" s="77"/>
      <c r="D28"/>
      <c r="H28" s="98" t="s">
        <v>86</v>
      </c>
      <c r="I28" s="99">
        <f>I27/I26</f>
        <v>0.18747851923423592</v>
      </c>
      <c r="J28" s="99">
        <f>J27/J26</f>
        <v>0.5561324233568196</v>
      </c>
      <c r="P28" t="str">
        <f t="shared" si="0"/>
        <v> </v>
      </c>
      <c r="Q28" t="str">
        <f t="shared" si="1"/>
        <v> </v>
      </c>
      <c r="R28" t="str">
        <f t="shared" si="2"/>
        <v> </v>
      </c>
      <c r="S28" t="str">
        <f t="shared" si="3"/>
        <v> </v>
      </c>
      <c r="T28" t="str">
        <f t="shared" si="4"/>
        <v> </v>
      </c>
    </row>
    <row r="29" spans="1:20" ht="12.75">
      <c r="A29" s="100"/>
      <c r="B29" s="100"/>
      <c r="C29" s="77"/>
      <c r="D29" s="49" t="str">
        <f aca="true" t="shared" si="6" ref="D29:D60">IF(ROW(D29)-($J$10+2)&gt;0," ",(A29-($F$5+$F$6*B29))^2)</f>
        <v> </v>
      </c>
      <c r="E29" s="1"/>
      <c r="F29" s="1"/>
      <c r="G29" s="1"/>
      <c r="P29" t="str">
        <f t="shared" si="0"/>
        <v> </v>
      </c>
      <c r="Q29" t="str">
        <f t="shared" si="1"/>
        <v> </v>
      </c>
      <c r="R29" t="str">
        <f t="shared" si="2"/>
        <v> </v>
      </c>
      <c r="S29" t="str">
        <f t="shared" si="3"/>
        <v> </v>
      </c>
      <c r="T29" t="str">
        <f t="shared" si="4"/>
        <v> </v>
      </c>
    </row>
    <row r="30" spans="1:20" ht="12.75">
      <c r="A30" s="100"/>
      <c r="B30" s="100"/>
      <c r="C30" s="77"/>
      <c r="D30" s="49" t="str">
        <f t="shared" si="6"/>
        <v> </v>
      </c>
      <c r="P30" t="str">
        <f t="shared" si="0"/>
        <v> </v>
      </c>
      <c r="Q30" t="str">
        <f t="shared" si="1"/>
        <v> </v>
      </c>
      <c r="R30" t="str">
        <f t="shared" si="2"/>
        <v> </v>
      </c>
      <c r="S30" t="str">
        <f t="shared" si="3"/>
        <v> </v>
      </c>
      <c r="T30" t="str">
        <f t="shared" si="4"/>
        <v> </v>
      </c>
    </row>
    <row r="31" spans="1:20" ht="12.75">
      <c r="A31" s="100"/>
      <c r="B31" s="100"/>
      <c r="C31" s="77"/>
      <c r="D31" s="49" t="str">
        <f t="shared" si="6"/>
        <v> </v>
      </c>
      <c r="P31" t="str">
        <f t="shared" si="0"/>
        <v> </v>
      </c>
      <c r="Q31" t="str">
        <f t="shared" si="1"/>
        <v> </v>
      </c>
      <c r="R31" t="str">
        <f t="shared" si="2"/>
        <v> </v>
      </c>
      <c r="S31" t="str">
        <f t="shared" si="3"/>
        <v> </v>
      </c>
      <c r="T31" t="str">
        <f t="shared" si="4"/>
        <v> </v>
      </c>
    </row>
    <row r="32" spans="1:20" ht="12.75">
      <c r="A32" s="100"/>
      <c r="B32" s="100"/>
      <c r="C32" s="77"/>
      <c r="D32" s="49" t="str">
        <f t="shared" si="6"/>
        <v> </v>
      </c>
      <c r="P32" t="str">
        <f t="shared" si="0"/>
        <v> </v>
      </c>
      <c r="Q32" t="str">
        <f t="shared" si="1"/>
        <v> </v>
      </c>
      <c r="R32" t="str">
        <f t="shared" si="2"/>
        <v> </v>
      </c>
      <c r="S32" t="str">
        <f t="shared" si="3"/>
        <v> </v>
      </c>
      <c r="T32" t="str">
        <f t="shared" si="4"/>
        <v> </v>
      </c>
    </row>
    <row r="33" spans="1:20" ht="12.75">
      <c r="A33" s="100"/>
      <c r="B33" s="100"/>
      <c r="C33" s="77"/>
      <c r="D33" s="49" t="str">
        <f t="shared" si="6"/>
        <v> </v>
      </c>
      <c r="P33" t="str">
        <f t="shared" si="0"/>
        <v> </v>
      </c>
      <c r="Q33" t="str">
        <f t="shared" si="1"/>
        <v> </v>
      </c>
      <c r="R33" t="str">
        <f t="shared" si="2"/>
        <v> </v>
      </c>
      <c r="S33" t="str">
        <f t="shared" si="3"/>
        <v> </v>
      </c>
      <c r="T33" t="str">
        <f t="shared" si="4"/>
        <v> </v>
      </c>
    </row>
    <row r="34" spans="1:20" ht="12.75">
      <c r="A34" s="100"/>
      <c r="B34" s="100"/>
      <c r="C34" s="77"/>
      <c r="D34" s="49" t="str">
        <f t="shared" si="6"/>
        <v> </v>
      </c>
      <c r="P34" t="str">
        <f t="shared" si="0"/>
        <v> </v>
      </c>
      <c r="Q34" t="str">
        <f t="shared" si="1"/>
        <v> </v>
      </c>
      <c r="R34" t="str">
        <f t="shared" si="2"/>
        <v> </v>
      </c>
      <c r="S34" t="str">
        <f t="shared" si="3"/>
        <v> </v>
      </c>
      <c r="T34" t="str">
        <f t="shared" si="4"/>
        <v> </v>
      </c>
    </row>
    <row r="35" spans="1:20" ht="12.75">
      <c r="A35" s="100"/>
      <c r="B35" s="100"/>
      <c r="C35" s="77"/>
      <c r="D35" s="49" t="str">
        <f t="shared" si="6"/>
        <v> </v>
      </c>
      <c r="P35" t="str">
        <f t="shared" si="0"/>
        <v> </v>
      </c>
      <c r="Q35" t="str">
        <f t="shared" si="1"/>
        <v> </v>
      </c>
      <c r="R35" t="str">
        <f t="shared" si="2"/>
        <v> </v>
      </c>
      <c r="S35" t="str">
        <f t="shared" si="3"/>
        <v> </v>
      </c>
      <c r="T35" t="str">
        <f t="shared" si="4"/>
        <v> </v>
      </c>
    </row>
    <row r="36" spans="1:20" ht="12.75">
      <c r="A36" s="100"/>
      <c r="B36" s="100"/>
      <c r="C36" s="77"/>
      <c r="D36" s="49" t="str">
        <f t="shared" si="6"/>
        <v> </v>
      </c>
      <c r="P36" t="str">
        <f aca="true" t="shared" si="7" ref="P36:P67">IF(B36&gt;0,B36," ")</f>
        <v> </v>
      </c>
      <c r="Q36" t="str">
        <f aca="true" t="shared" si="8" ref="Q36:Q67">IF(B36&gt;0,IF(F$3=TRUE,A36,SQRT(A36))," ")</f>
        <v> </v>
      </c>
      <c r="R36" t="str">
        <f aca="true" t="shared" si="9" ref="R36:R67">IF(B36&gt;0,IF(F$3=TRUE,A36^2,A36)," ")</f>
        <v> </v>
      </c>
      <c r="S36" t="str">
        <f aca="true" t="shared" si="10" ref="S36:S67">IF(B36&gt;0,Q36/P36," ")</f>
        <v> </v>
      </c>
      <c r="T36" t="str">
        <f aca="true" t="shared" si="11" ref="T36:T67">IF(B36&gt;0,R36/P36," ")</f>
        <v> </v>
      </c>
    </row>
    <row r="37" spans="1:20" ht="12.75">
      <c r="A37" s="100"/>
      <c r="B37" s="100"/>
      <c r="C37" s="77"/>
      <c r="D37" s="49" t="str">
        <f t="shared" si="6"/>
        <v> </v>
      </c>
      <c r="P37" t="str">
        <f t="shared" si="7"/>
        <v> </v>
      </c>
      <c r="Q37" t="str">
        <f t="shared" si="8"/>
        <v> </v>
      </c>
      <c r="R37" t="str">
        <f t="shared" si="9"/>
        <v> </v>
      </c>
      <c r="S37" t="str">
        <f t="shared" si="10"/>
        <v> </v>
      </c>
      <c r="T37" t="str">
        <f t="shared" si="11"/>
        <v> </v>
      </c>
    </row>
    <row r="38" spans="1:20" ht="12.75">
      <c r="A38" s="100"/>
      <c r="B38" s="100"/>
      <c r="C38" s="77"/>
      <c r="D38" s="49" t="str">
        <f t="shared" si="6"/>
        <v> </v>
      </c>
      <c r="P38" t="str">
        <f t="shared" si="7"/>
        <v> </v>
      </c>
      <c r="Q38" t="str">
        <f t="shared" si="8"/>
        <v> </v>
      </c>
      <c r="R38" t="str">
        <f t="shared" si="9"/>
        <v> </v>
      </c>
      <c r="S38" t="str">
        <f t="shared" si="10"/>
        <v> </v>
      </c>
      <c r="T38" t="str">
        <f t="shared" si="11"/>
        <v> </v>
      </c>
    </row>
    <row r="39" spans="1:20" ht="12.75">
      <c r="A39" s="100"/>
      <c r="B39" s="100"/>
      <c r="C39" s="77"/>
      <c r="D39" s="49" t="str">
        <f t="shared" si="6"/>
        <v> </v>
      </c>
      <c r="P39" t="str">
        <f t="shared" si="7"/>
        <v> </v>
      </c>
      <c r="Q39" t="str">
        <f t="shared" si="8"/>
        <v> </v>
      </c>
      <c r="R39" t="str">
        <f t="shared" si="9"/>
        <v> </v>
      </c>
      <c r="S39" t="str">
        <f t="shared" si="10"/>
        <v> </v>
      </c>
      <c r="T39" t="str">
        <f t="shared" si="11"/>
        <v> </v>
      </c>
    </row>
    <row r="40" spans="1:20" ht="12.75">
      <c r="A40" s="100"/>
      <c r="B40" s="100"/>
      <c r="C40" s="77"/>
      <c r="D40" s="49" t="str">
        <f t="shared" si="6"/>
        <v> </v>
      </c>
      <c r="P40" t="str">
        <f t="shared" si="7"/>
        <v> </v>
      </c>
      <c r="Q40" t="str">
        <f t="shared" si="8"/>
        <v> </v>
      </c>
      <c r="R40" t="str">
        <f t="shared" si="9"/>
        <v> </v>
      </c>
      <c r="S40" t="str">
        <f t="shared" si="10"/>
        <v> </v>
      </c>
      <c r="T40" t="str">
        <f t="shared" si="11"/>
        <v> </v>
      </c>
    </row>
    <row r="41" spans="1:20" ht="12.75">
      <c r="A41" s="100"/>
      <c r="B41" s="100"/>
      <c r="C41" s="77"/>
      <c r="D41" s="49" t="str">
        <f t="shared" si="6"/>
        <v> </v>
      </c>
      <c r="P41" t="str">
        <f t="shared" si="7"/>
        <v> </v>
      </c>
      <c r="Q41" t="str">
        <f t="shared" si="8"/>
        <v> </v>
      </c>
      <c r="R41" t="str">
        <f t="shared" si="9"/>
        <v> </v>
      </c>
      <c r="S41" t="str">
        <f t="shared" si="10"/>
        <v> </v>
      </c>
      <c r="T41" t="str">
        <f t="shared" si="11"/>
        <v> </v>
      </c>
    </row>
    <row r="42" spans="1:20" ht="12.75">
      <c r="A42" s="100"/>
      <c r="B42" s="100"/>
      <c r="C42" s="77"/>
      <c r="D42" s="49" t="str">
        <f t="shared" si="6"/>
        <v> </v>
      </c>
      <c r="P42" t="str">
        <f t="shared" si="7"/>
        <v> </v>
      </c>
      <c r="Q42" t="str">
        <f t="shared" si="8"/>
        <v> </v>
      </c>
      <c r="R42" t="str">
        <f t="shared" si="9"/>
        <v> </v>
      </c>
      <c r="S42" t="str">
        <f t="shared" si="10"/>
        <v> </v>
      </c>
      <c r="T42" t="str">
        <f t="shared" si="11"/>
        <v> </v>
      </c>
    </row>
    <row r="43" spans="1:20" ht="12.75">
      <c r="A43" s="100"/>
      <c r="B43" s="100"/>
      <c r="C43" s="77"/>
      <c r="D43" s="49" t="str">
        <f t="shared" si="6"/>
        <v> </v>
      </c>
      <c r="P43" t="str">
        <f t="shared" si="7"/>
        <v> </v>
      </c>
      <c r="Q43" t="str">
        <f t="shared" si="8"/>
        <v> </v>
      </c>
      <c r="R43" t="str">
        <f t="shared" si="9"/>
        <v> </v>
      </c>
      <c r="S43" t="str">
        <f t="shared" si="10"/>
        <v> </v>
      </c>
      <c r="T43" t="str">
        <f t="shared" si="11"/>
        <v> </v>
      </c>
    </row>
    <row r="44" spans="1:20" ht="12.75">
      <c r="A44" s="100"/>
      <c r="B44" s="100"/>
      <c r="C44" s="77"/>
      <c r="D44" s="49" t="str">
        <f t="shared" si="6"/>
        <v> </v>
      </c>
      <c r="P44" t="str">
        <f t="shared" si="7"/>
        <v> </v>
      </c>
      <c r="Q44" t="str">
        <f t="shared" si="8"/>
        <v> </v>
      </c>
      <c r="R44" t="str">
        <f t="shared" si="9"/>
        <v> </v>
      </c>
      <c r="S44" t="str">
        <f t="shared" si="10"/>
        <v> </v>
      </c>
      <c r="T44" t="str">
        <f t="shared" si="11"/>
        <v> </v>
      </c>
    </row>
    <row r="45" spans="1:20" ht="12.75">
      <c r="A45" s="100"/>
      <c r="B45" s="100"/>
      <c r="C45" s="77"/>
      <c r="D45" s="49" t="str">
        <f t="shared" si="6"/>
        <v> </v>
      </c>
      <c r="P45" t="str">
        <f t="shared" si="7"/>
        <v> </v>
      </c>
      <c r="Q45" t="str">
        <f t="shared" si="8"/>
        <v> </v>
      </c>
      <c r="R45" t="str">
        <f t="shared" si="9"/>
        <v> </v>
      </c>
      <c r="S45" t="str">
        <f t="shared" si="10"/>
        <v> </v>
      </c>
      <c r="T45" t="str">
        <f t="shared" si="11"/>
        <v> </v>
      </c>
    </row>
    <row r="46" spans="1:20" ht="12.75">
      <c r="A46" s="100"/>
      <c r="B46" s="100"/>
      <c r="C46" s="77"/>
      <c r="D46" s="49" t="str">
        <f t="shared" si="6"/>
        <v> </v>
      </c>
      <c r="P46" t="str">
        <f t="shared" si="7"/>
        <v> </v>
      </c>
      <c r="Q46" t="str">
        <f t="shared" si="8"/>
        <v> </v>
      </c>
      <c r="R46" t="str">
        <f t="shared" si="9"/>
        <v> </v>
      </c>
      <c r="S46" t="str">
        <f t="shared" si="10"/>
        <v> </v>
      </c>
      <c r="T46" t="str">
        <f t="shared" si="11"/>
        <v> </v>
      </c>
    </row>
    <row r="47" spans="1:20" ht="12.75">
      <c r="A47" s="100"/>
      <c r="B47" s="100"/>
      <c r="C47" s="77"/>
      <c r="D47" s="49" t="str">
        <f t="shared" si="6"/>
        <v> </v>
      </c>
      <c r="P47" t="str">
        <f t="shared" si="7"/>
        <v> </v>
      </c>
      <c r="Q47" t="str">
        <f t="shared" si="8"/>
        <v> </v>
      </c>
      <c r="R47" t="str">
        <f t="shared" si="9"/>
        <v> </v>
      </c>
      <c r="S47" t="str">
        <f t="shared" si="10"/>
        <v> </v>
      </c>
      <c r="T47" t="str">
        <f t="shared" si="11"/>
        <v> </v>
      </c>
    </row>
    <row r="48" spans="1:20" ht="12.75">
      <c r="A48" s="100"/>
      <c r="B48" s="100"/>
      <c r="C48" s="77"/>
      <c r="D48" s="49" t="str">
        <f t="shared" si="6"/>
        <v> </v>
      </c>
      <c r="P48" t="str">
        <f t="shared" si="7"/>
        <v> </v>
      </c>
      <c r="Q48" t="str">
        <f t="shared" si="8"/>
        <v> </v>
      </c>
      <c r="R48" t="str">
        <f t="shared" si="9"/>
        <v> </v>
      </c>
      <c r="S48" t="str">
        <f t="shared" si="10"/>
        <v> </v>
      </c>
      <c r="T48" t="str">
        <f t="shared" si="11"/>
        <v> </v>
      </c>
    </row>
    <row r="49" spans="1:20" ht="12.75">
      <c r="A49" s="100"/>
      <c r="B49" s="100"/>
      <c r="C49" s="77"/>
      <c r="D49" s="49" t="str">
        <f t="shared" si="6"/>
        <v> </v>
      </c>
      <c r="P49" t="str">
        <f t="shared" si="7"/>
        <v> </v>
      </c>
      <c r="Q49" t="str">
        <f t="shared" si="8"/>
        <v> </v>
      </c>
      <c r="R49" t="str">
        <f t="shared" si="9"/>
        <v> </v>
      </c>
      <c r="S49" t="str">
        <f t="shared" si="10"/>
        <v> </v>
      </c>
      <c r="T49" t="str">
        <f t="shared" si="11"/>
        <v> </v>
      </c>
    </row>
    <row r="50" spans="1:20" ht="12.75">
      <c r="A50" s="100"/>
      <c r="B50" s="100"/>
      <c r="C50" s="77"/>
      <c r="D50" s="49" t="str">
        <f t="shared" si="6"/>
        <v> </v>
      </c>
      <c r="P50" t="str">
        <f t="shared" si="7"/>
        <v> </v>
      </c>
      <c r="Q50" t="str">
        <f t="shared" si="8"/>
        <v> </v>
      </c>
      <c r="R50" t="str">
        <f t="shared" si="9"/>
        <v> </v>
      </c>
      <c r="S50" t="str">
        <f t="shared" si="10"/>
        <v> </v>
      </c>
      <c r="T50" t="str">
        <f t="shared" si="11"/>
        <v> </v>
      </c>
    </row>
    <row r="51" spans="1:20" ht="12.75">
      <c r="A51" s="100"/>
      <c r="B51" s="100"/>
      <c r="C51" s="77"/>
      <c r="D51" s="49" t="str">
        <f t="shared" si="6"/>
        <v> </v>
      </c>
      <c r="P51" t="str">
        <f t="shared" si="7"/>
        <v> </v>
      </c>
      <c r="Q51" t="str">
        <f t="shared" si="8"/>
        <v> </v>
      </c>
      <c r="R51" t="str">
        <f t="shared" si="9"/>
        <v> </v>
      </c>
      <c r="S51" t="str">
        <f t="shared" si="10"/>
        <v> </v>
      </c>
      <c r="T51" t="str">
        <f t="shared" si="11"/>
        <v> </v>
      </c>
    </row>
    <row r="52" spans="1:20" ht="12.75">
      <c r="A52" s="100"/>
      <c r="B52" s="100"/>
      <c r="C52" s="77"/>
      <c r="D52" s="49" t="str">
        <f t="shared" si="6"/>
        <v> </v>
      </c>
      <c r="P52" t="str">
        <f t="shared" si="7"/>
        <v> </v>
      </c>
      <c r="Q52" t="str">
        <f t="shared" si="8"/>
        <v> </v>
      </c>
      <c r="R52" t="str">
        <f t="shared" si="9"/>
        <v> </v>
      </c>
      <c r="S52" t="str">
        <f t="shared" si="10"/>
        <v> </v>
      </c>
      <c r="T52" t="str">
        <f t="shared" si="11"/>
        <v> </v>
      </c>
    </row>
    <row r="53" spans="1:20" ht="12.75">
      <c r="A53" s="82"/>
      <c r="B53" s="82"/>
      <c r="C53" s="77"/>
      <c r="D53" s="49" t="str">
        <f t="shared" si="6"/>
        <v> </v>
      </c>
      <c r="P53" t="str">
        <f t="shared" si="7"/>
        <v> </v>
      </c>
      <c r="Q53" t="str">
        <f t="shared" si="8"/>
        <v> </v>
      </c>
      <c r="R53" t="str">
        <f t="shared" si="9"/>
        <v> </v>
      </c>
      <c r="S53" t="str">
        <f t="shared" si="10"/>
        <v> </v>
      </c>
      <c r="T53" t="str">
        <f t="shared" si="11"/>
        <v> </v>
      </c>
    </row>
    <row r="54" spans="1:20" ht="12.75">
      <c r="A54" s="82"/>
      <c r="B54" s="82"/>
      <c r="C54" s="77"/>
      <c r="D54" s="49" t="str">
        <f t="shared" si="6"/>
        <v> </v>
      </c>
      <c r="P54" t="str">
        <f t="shared" si="7"/>
        <v> </v>
      </c>
      <c r="Q54" t="str">
        <f t="shared" si="8"/>
        <v> </v>
      </c>
      <c r="R54" t="str">
        <f t="shared" si="9"/>
        <v> </v>
      </c>
      <c r="S54" t="str">
        <f t="shared" si="10"/>
        <v> </v>
      </c>
      <c r="T54" t="str">
        <f t="shared" si="11"/>
        <v> </v>
      </c>
    </row>
    <row r="55" spans="1:20" ht="12.75">
      <c r="A55" s="82"/>
      <c r="B55" s="82"/>
      <c r="C55" s="77"/>
      <c r="D55" s="49" t="str">
        <f t="shared" si="6"/>
        <v> </v>
      </c>
      <c r="P55" t="str">
        <f t="shared" si="7"/>
        <v> </v>
      </c>
      <c r="Q55" t="str">
        <f t="shared" si="8"/>
        <v> </v>
      </c>
      <c r="R55" t="str">
        <f t="shared" si="9"/>
        <v> </v>
      </c>
      <c r="S55" t="str">
        <f t="shared" si="10"/>
        <v> </v>
      </c>
      <c r="T55" t="str">
        <f t="shared" si="11"/>
        <v> </v>
      </c>
    </row>
    <row r="56" spans="1:20" ht="12.75">
      <c r="A56" s="82"/>
      <c r="B56" s="82"/>
      <c r="C56" s="77"/>
      <c r="D56" s="49" t="str">
        <f t="shared" si="6"/>
        <v> </v>
      </c>
      <c r="P56" t="str">
        <f t="shared" si="7"/>
        <v> </v>
      </c>
      <c r="Q56" t="str">
        <f t="shared" si="8"/>
        <v> </v>
      </c>
      <c r="R56" t="str">
        <f t="shared" si="9"/>
        <v> </v>
      </c>
      <c r="S56" t="str">
        <f t="shared" si="10"/>
        <v> </v>
      </c>
      <c r="T56" t="str">
        <f t="shared" si="11"/>
        <v> </v>
      </c>
    </row>
    <row r="57" spans="1:20" ht="12.75">
      <c r="A57" s="82"/>
      <c r="B57" s="82"/>
      <c r="C57" s="77"/>
      <c r="D57" s="49" t="str">
        <f t="shared" si="6"/>
        <v> </v>
      </c>
      <c r="P57" t="str">
        <f t="shared" si="7"/>
        <v> </v>
      </c>
      <c r="Q57" t="str">
        <f t="shared" si="8"/>
        <v> </v>
      </c>
      <c r="R57" t="str">
        <f t="shared" si="9"/>
        <v> </v>
      </c>
      <c r="S57" t="str">
        <f t="shared" si="10"/>
        <v> </v>
      </c>
      <c r="T57" t="str">
        <f t="shared" si="11"/>
        <v> </v>
      </c>
    </row>
    <row r="58" spans="1:20" ht="12.75">
      <c r="A58" s="82"/>
      <c r="B58" s="82"/>
      <c r="C58" s="77"/>
      <c r="D58" s="49" t="str">
        <f t="shared" si="6"/>
        <v> </v>
      </c>
      <c r="P58" t="str">
        <f t="shared" si="7"/>
        <v> </v>
      </c>
      <c r="Q58" t="str">
        <f t="shared" si="8"/>
        <v> </v>
      </c>
      <c r="R58" t="str">
        <f t="shared" si="9"/>
        <v> </v>
      </c>
      <c r="S58" t="str">
        <f t="shared" si="10"/>
        <v> </v>
      </c>
      <c r="T58" t="str">
        <f t="shared" si="11"/>
        <v> </v>
      </c>
    </row>
    <row r="59" spans="1:20" ht="12.75">
      <c r="A59" s="82"/>
      <c r="B59" s="82"/>
      <c r="C59" s="77"/>
      <c r="D59" s="49" t="str">
        <f t="shared" si="6"/>
        <v> </v>
      </c>
      <c r="P59" t="str">
        <f t="shared" si="7"/>
        <v> </v>
      </c>
      <c r="Q59" t="str">
        <f t="shared" si="8"/>
        <v> </v>
      </c>
      <c r="R59" t="str">
        <f t="shared" si="9"/>
        <v> </v>
      </c>
      <c r="S59" t="str">
        <f t="shared" si="10"/>
        <v> </v>
      </c>
      <c r="T59" t="str">
        <f t="shared" si="11"/>
        <v> </v>
      </c>
    </row>
    <row r="60" spans="1:20" ht="12.75">
      <c r="A60" s="82"/>
      <c r="B60" s="82"/>
      <c r="C60" s="77"/>
      <c r="D60" s="49" t="str">
        <f t="shared" si="6"/>
        <v> </v>
      </c>
      <c r="P60" t="str">
        <f t="shared" si="7"/>
        <v> </v>
      </c>
      <c r="Q60" t="str">
        <f t="shared" si="8"/>
        <v> </v>
      </c>
      <c r="R60" t="str">
        <f t="shared" si="9"/>
        <v> </v>
      </c>
      <c r="S60" t="str">
        <f t="shared" si="10"/>
        <v> </v>
      </c>
      <c r="T60" t="str">
        <f t="shared" si="11"/>
        <v> </v>
      </c>
    </row>
    <row r="61" spans="1:20" ht="12.75">
      <c r="A61" s="82"/>
      <c r="B61" s="82"/>
      <c r="C61" s="77"/>
      <c r="D61" s="49" t="str">
        <f aca="true" t="shared" si="12" ref="D61:D92">IF(ROW(D61)-($J$10+2)&gt;0," ",(A61-($F$5+$F$6*B61))^2)</f>
        <v> </v>
      </c>
      <c r="P61" t="str">
        <f t="shared" si="7"/>
        <v> </v>
      </c>
      <c r="Q61" t="str">
        <f t="shared" si="8"/>
        <v> </v>
      </c>
      <c r="R61" t="str">
        <f t="shared" si="9"/>
        <v> </v>
      </c>
      <c r="S61" t="str">
        <f t="shared" si="10"/>
        <v> </v>
      </c>
      <c r="T61" t="str">
        <f t="shared" si="11"/>
        <v> </v>
      </c>
    </row>
    <row r="62" spans="1:20" ht="12.75">
      <c r="A62" s="82"/>
      <c r="B62" s="82"/>
      <c r="C62" s="77"/>
      <c r="D62" s="49" t="str">
        <f t="shared" si="12"/>
        <v> </v>
      </c>
      <c r="P62" t="str">
        <f t="shared" si="7"/>
        <v> </v>
      </c>
      <c r="Q62" t="str">
        <f t="shared" si="8"/>
        <v> </v>
      </c>
      <c r="R62" t="str">
        <f t="shared" si="9"/>
        <v> </v>
      </c>
      <c r="S62" t="str">
        <f t="shared" si="10"/>
        <v> </v>
      </c>
      <c r="T62" t="str">
        <f t="shared" si="11"/>
        <v> </v>
      </c>
    </row>
    <row r="63" spans="1:20" ht="12.75">
      <c r="A63" s="82"/>
      <c r="B63" s="82"/>
      <c r="C63" s="77"/>
      <c r="D63" s="49" t="str">
        <f t="shared" si="12"/>
        <v> </v>
      </c>
      <c r="P63" t="str">
        <f t="shared" si="7"/>
        <v> </v>
      </c>
      <c r="Q63" t="str">
        <f t="shared" si="8"/>
        <v> </v>
      </c>
      <c r="R63" t="str">
        <f t="shared" si="9"/>
        <v> </v>
      </c>
      <c r="S63" t="str">
        <f t="shared" si="10"/>
        <v> </v>
      </c>
      <c r="T63" t="str">
        <f t="shared" si="11"/>
        <v> </v>
      </c>
    </row>
    <row r="64" spans="1:20" ht="12.75">
      <c r="A64" s="82"/>
      <c r="B64" s="82"/>
      <c r="C64" s="77"/>
      <c r="D64" s="49" t="str">
        <f t="shared" si="12"/>
        <v> </v>
      </c>
      <c r="P64" t="str">
        <f t="shared" si="7"/>
        <v> </v>
      </c>
      <c r="Q64" t="str">
        <f t="shared" si="8"/>
        <v> </v>
      </c>
      <c r="R64" t="str">
        <f t="shared" si="9"/>
        <v> </v>
      </c>
      <c r="S64" t="str">
        <f t="shared" si="10"/>
        <v> </v>
      </c>
      <c r="T64" t="str">
        <f t="shared" si="11"/>
        <v> </v>
      </c>
    </row>
    <row r="65" spans="1:20" ht="12.75">
      <c r="A65" s="82"/>
      <c r="B65" s="82"/>
      <c r="C65" s="77"/>
      <c r="D65" s="49" t="str">
        <f t="shared" si="12"/>
        <v> </v>
      </c>
      <c r="P65" t="str">
        <f t="shared" si="7"/>
        <v> </v>
      </c>
      <c r="Q65" t="str">
        <f t="shared" si="8"/>
        <v> </v>
      </c>
      <c r="R65" t="str">
        <f t="shared" si="9"/>
        <v> </v>
      </c>
      <c r="S65" t="str">
        <f t="shared" si="10"/>
        <v> </v>
      </c>
      <c r="T65" t="str">
        <f t="shared" si="11"/>
        <v> </v>
      </c>
    </row>
    <row r="66" spans="1:20" ht="12.75">
      <c r="A66" s="82"/>
      <c r="B66" s="82"/>
      <c r="C66" s="77"/>
      <c r="D66" s="49" t="str">
        <f t="shared" si="12"/>
        <v> </v>
      </c>
      <c r="P66" t="str">
        <f t="shared" si="7"/>
        <v> </v>
      </c>
      <c r="Q66" t="str">
        <f t="shared" si="8"/>
        <v> </v>
      </c>
      <c r="R66" t="str">
        <f t="shared" si="9"/>
        <v> </v>
      </c>
      <c r="S66" t="str">
        <f t="shared" si="10"/>
        <v> </v>
      </c>
      <c r="T66" t="str">
        <f t="shared" si="11"/>
        <v> </v>
      </c>
    </row>
    <row r="67" spans="1:20" ht="12.75">
      <c r="A67" s="82"/>
      <c r="B67" s="82"/>
      <c r="C67" s="77"/>
      <c r="D67" s="49" t="str">
        <f t="shared" si="12"/>
        <v> </v>
      </c>
      <c r="P67" t="str">
        <f t="shared" si="7"/>
        <v> </v>
      </c>
      <c r="Q67" t="str">
        <f t="shared" si="8"/>
        <v> </v>
      </c>
      <c r="R67" t="str">
        <f t="shared" si="9"/>
        <v> </v>
      </c>
      <c r="S67" t="str">
        <f t="shared" si="10"/>
        <v> </v>
      </c>
      <c r="T67" t="str">
        <f t="shared" si="11"/>
        <v> </v>
      </c>
    </row>
    <row r="68" spans="1:20" ht="12.75">
      <c r="A68" s="82"/>
      <c r="B68" s="82"/>
      <c r="C68" s="77"/>
      <c r="D68" s="49" t="str">
        <f t="shared" si="12"/>
        <v> </v>
      </c>
      <c r="P68" t="str">
        <f aca="true" t="shared" si="13" ref="P68:P103">IF(B68&gt;0,B68," ")</f>
        <v> </v>
      </c>
      <c r="Q68" t="str">
        <f aca="true" t="shared" si="14" ref="Q68:Q103">IF(B68&gt;0,IF(F$3=TRUE,A68,SQRT(A68))," ")</f>
        <v> </v>
      </c>
      <c r="R68" t="str">
        <f aca="true" t="shared" si="15" ref="R68:R103">IF(B68&gt;0,IF(F$3=TRUE,A68^2,A68)," ")</f>
        <v> </v>
      </c>
      <c r="S68" t="str">
        <f aca="true" t="shared" si="16" ref="S68:S103">IF(B68&gt;0,Q68/P68," ")</f>
        <v> </v>
      </c>
      <c r="T68" t="str">
        <f aca="true" t="shared" si="17" ref="T68:T103">IF(B68&gt;0,R68/P68," ")</f>
        <v> </v>
      </c>
    </row>
    <row r="69" spans="1:20" ht="12.75">
      <c r="A69" s="82"/>
      <c r="B69" s="82"/>
      <c r="C69" s="77"/>
      <c r="D69" s="49" t="str">
        <f t="shared" si="12"/>
        <v> </v>
      </c>
      <c r="P69" t="str">
        <f t="shared" si="13"/>
        <v> </v>
      </c>
      <c r="Q69" t="str">
        <f t="shared" si="14"/>
        <v> </v>
      </c>
      <c r="R69" t="str">
        <f t="shared" si="15"/>
        <v> </v>
      </c>
      <c r="S69" t="str">
        <f t="shared" si="16"/>
        <v> </v>
      </c>
      <c r="T69" t="str">
        <f t="shared" si="17"/>
        <v> </v>
      </c>
    </row>
    <row r="70" spans="1:20" ht="12.75">
      <c r="A70" s="82"/>
      <c r="B70" s="82"/>
      <c r="C70" s="77"/>
      <c r="D70" s="49" t="str">
        <f t="shared" si="12"/>
        <v> </v>
      </c>
      <c r="P70" t="str">
        <f t="shared" si="13"/>
        <v> </v>
      </c>
      <c r="Q70" t="str">
        <f t="shared" si="14"/>
        <v> </v>
      </c>
      <c r="R70" t="str">
        <f t="shared" si="15"/>
        <v> </v>
      </c>
      <c r="S70" t="str">
        <f t="shared" si="16"/>
        <v> </v>
      </c>
      <c r="T70" t="str">
        <f t="shared" si="17"/>
        <v> </v>
      </c>
    </row>
    <row r="71" spans="1:20" ht="12.75">
      <c r="A71" s="82"/>
      <c r="B71" s="82"/>
      <c r="C71" s="77"/>
      <c r="D71" s="49" t="str">
        <f t="shared" si="12"/>
        <v> </v>
      </c>
      <c r="P71" t="str">
        <f t="shared" si="13"/>
        <v> </v>
      </c>
      <c r="Q71" t="str">
        <f t="shared" si="14"/>
        <v> </v>
      </c>
      <c r="R71" t="str">
        <f t="shared" si="15"/>
        <v> </v>
      </c>
      <c r="S71" t="str">
        <f t="shared" si="16"/>
        <v> </v>
      </c>
      <c r="T71" t="str">
        <f t="shared" si="17"/>
        <v> </v>
      </c>
    </row>
    <row r="72" spans="1:20" ht="12.75">
      <c r="A72" s="82"/>
      <c r="B72" s="82"/>
      <c r="C72" s="77"/>
      <c r="D72" s="49" t="str">
        <f t="shared" si="12"/>
        <v> </v>
      </c>
      <c r="P72" t="str">
        <f t="shared" si="13"/>
        <v> </v>
      </c>
      <c r="Q72" t="str">
        <f t="shared" si="14"/>
        <v> </v>
      </c>
      <c r="R72" t="str">
        <f t="shared" si="15"/>
        <v> </v>
      </c>
      <c r="S72" t="str">
        <f t="shared" si="16"/>
        <v> </v>
      </c>
      <c r="T72" t="str">
        <f t="shared" si="17"/>
        <v> </v>
      </c>
    </row>
    <row r="73" spans="1:20" ht="12.75">
      <c r="A73" s="82"/>
      <c r="B73" s="82"/>
      <c r="C73" s="77"/>
      <c r="D73" s="49" t="str">
        <f t="shared" si="12"/>
        <v> </v>
      </c>
      <c r="P73" t="str">
        <f t="shared" si="13"/>
        <v> </v>
      </c>
      <c r="Q73" t="str">
        <f t="shared" si="14"/>
        <v> </v>
      </c>
      <c r="R73" t="str">
        <f t="shared" si="15"/>
        <v> </v>
      </c>
      <c r="S73" t="str">
        <f t="shared" si="16"/>
        <v> </v>
      </c>
      <c r="T73" t="str">
        <f t="shared" si="17"/>
        <v> </v>
      </c>
    </row>
    <row r="74" spans="1:20" ht="12.75">
      <c r="A74" s="82"/>
      <c r="B74" s="82"/>
      <c r="C74" s="77"/>
      <c r="D74" s="49" t="str">
        <f t="shared" si="12"/>
        <v> </v>
      </c>
      <c r="P74" t="str">
        <f t="shared" si="13"/>
        <v> </v>
      </c>
      <c r="Q74" t="str">
        <f t="shared" si="14"/>
        <v> </v>
      </c>
      <c r="R74" t="str">
        <f t="shared" si="15"/>
        <v> </v>
      </c>
      <c r="S74" t="str">
        <f t="shared" si="16"/>
        <v> </v>
      </c>
      <c r="T74" t="str">
        <f t="shared" si="17"/>
        <v> </v>
      </c>
    </row>
    <row r="75" spans="1:20" ht="12.75">
      <c r="A75" s="82"/>
      <c r="B75" s="82"/>
      <c r="C75" s="77"/>
      <c r="D75" s="49" t="str">
        <f t="shared" si="12"/>
        <v> </v>
      </c>
      <c r="P75" t="str">
        <f t="shared" si="13"/>
        <v> </v>
      </c>
      <c r="Q75" t="str">
        <f t="shared" si="14"/>
        <v> </v>
      </c>
      <c r="R75" t="str">
        <f t="shared" si="15"/>
        <v> </v>
      </c>
      <c r="S75" t="str">
        <f t="shared" si="16"/>
        <v> </v>
      </c>
      <c r="T75" t="str">
        <f t="shared" si="17"/>
        <v> </v>
      </c>
    </row>
    <row r="76" spans="1:20" ht="12.75">
      <c r="A76" s="82"/>
      <c r="B76" s="82"/>
      <c r="C76" s="77"/>
      <c r="D76" s="49" t="str">
        <f t="shared" si="12"/>
        <v> </v>
      </c>
      <c r="P76" t="str">
        <f t="shared" si="13"/>
        <v> </v>
      </c>
      <c r="Q76" t="str">
        <f t="shared" si="14"/>
        <v> </v>
      </c>
      <c r="R76" t="str">
        <f t="shared" si="15"/>
        <v> </v>
      </c>
      <c r="S76" t="str">
        <f t="shared" si="16"/>
        <v> </v>
      </c>
      <c r="T76" t="str">
        <f t="shared" si="17"/>
        <v> </v>
      </c>
    </row>
    <row r="77" spans="1:20" ht="12.75">
      <c r="A77" s="82"/>
      <c r="B77" s="82"/>
      <c r="C77" s="77"/>
      <c r="D77" s="49" t="str">
        <f t="shared" si="12"/>
        <v> </v>
      </c>
      <c r="P77" t="str">
        <f t="shared" si="13"/>
        <v> </v>
      </c>
      <c r="Q77" t="str">
        <f t="shared" si="14"/>
        <v> </v>
      </c>
      <c r="R77" t="str">
        <f t="shared" si="15"/>
        <v> </v>
      </c>
      <c r="S77" t="str">
        <f t="shared" si="16"/>
        <v> </v>
      </c>
      <c r="T77" t="str">
        <f t="shared" si="17"/>
        <v> </v>
      </c>
    </row>
    <row r="78" spans="1:20" ht="12.75">
      <c r="A78" s="82"/>
      <c r="B78" s="82"/>
      <c r="C78" s="77"/>
      <c r="D78" s="49" t="str">
        <f t="shared" si="12"/>
        <v> </v>
      </c>
      <c r="P78" t="str">
        <f t="shared" si="13"/>
        <v> </v>
      </c>
      <c r="Q78" t="str">
        <f t="shared" si="14"/>
        <v> </v>
      </c>
      <c r="R78" t="str">
        <f t="shared" si="15"/>
        <v> </v>
      </c>
      <c r="S78" t="str">
        <f t="shared" si="16"/>
        <v> </v>
      </c>
      <c r="T78" t="str">
        <f t="shared" si="17"/>
        <v> </v>
      </c>
    </row>
    <row r="79" spans="1:20" ht="12.75">
      <c r="A79" s="82"/>
      <c r="B79" s="82"/>
      <c r="C79" s="77"/>
      <c r="D79" s="49" t="str">
        <f t="shared" si="12"/>
        <v> </v>
      </c>
      <c r="P79" t="str">
        <f t="shared" si="13"/>
        <v> </v>
      </c>
      <c r="Q79" t="str">
        <f t="shared" si="14"/>
        <v> </v>
      </c>
      <c r="R79" t="str">
        <f t="shared" si="15"/>
        <v> </v>
      </c>
      <c r="S79" t="str">
        <f t="shared" si="16"/>
        <v> </v>
      </c>
      <c r="T79" t="str">
        <f t="shared" si="17"/>
        <v> </v>
      </c>
    </row>
    <row r="80" spans="1:20" ht="12.75">
      <c r="A80" s="82"/>
      <c r="B80" s="82"/>
      <c r="C80" s="77"/>
      <c r="D80" s="49" t="str">
        <f t="shared" si="12"/>
        <v> </v>
      </c>
      <c r="P80" t="str">
        <f t="shared" si="13"/>
        <v> </v>
      </c>
      <c r="Q80" t="str">
        <f t="shared" si="14"/>
        <v> </v>
      </c>
      <c r="R80" t="str">
        <f t="shared" si="15"/>
        <v> </v>
      </c>
      <c r="S80" t="str">
        <f t="shared" si="16"/>
        <v> </v>
      </c>
      <c r="T80" t="str">
        <f t="shared" si="17"/>
        <v> </v>
      </c>
    </row>
    <row r="81" spans="1:20" ht="12.75">
      <c r="A81" s="82"/>
      <c r="B81" s="82"/>
      <c r="C81" s="77"/>
      <c r="D81" s="49" t="str">
        <f t="shared" si="12"/>
        <v> </v>
      </c>
      <c r="P81" t="str">
        <f t="shared" si="13"/>
        <v> </v>
      </c>
      <c r="Q81" t="str">
        <f t="shared" si="14"/>
        <v> </v>
      </c>
      <c r="R81" t="str">
        <f t="shared" si="15"/>
        <v> </v>
      </c>
      <c r="S81" t="str">
        <f t="shared" si="16"/>
        <v> </v>
      </c>
      <c r="T81" t="str">
        <f t="shared" si="17"/>
        <v> </v>
      </c>
    </row>
    <row r="82" spans="1:20" ht="12.75">
      <c r="A82" s="82"/>
      <c r="B82" s="82"/>
      <c r="C82" s="77"/>
      <c r="D82" s="49" t="str">
        <f t="shared" si="12"/>
        <v> </v>
      </c>
      <c r="P82" t="str">
        <f t="shared" si="13"/>
        <v> </v>
      </c>
      <c r="Q82" t="str">
        <f t="shared" si="14"/>
        <v> </v>
      </c>
      <c r="R82" t="str">
        <f t="shared" si="15"/>
        <v> </v>
      </c>
      <c r="S82" t="str">
        <f t="shared" si="16"/>
        <v> </v>
      </c>
      <c r="T82" t="str">
        <f t="shared" si="17"/>
        <v> </v>
      </c>
    </row>
    <row r="83" spans="1:20" ht="12.75">
      <c r="A83" s="82"/>
      <c r="B83" s="82"/>
      <c r="C83" s="77"/>
      <c r="D83" s="49" t="str">
        <f t="shared" si="12"/>
        <v> </v>
      </c>
      <c r="P83" t="str">
        <f t="shared" si="13"/>
        <v> </v>
      </c>
      <c r="Q83" t="str">
        <f t="shared" si="14"/>
        <v> </v>
      </c>
      <c r="R83" t="str">
        <f t="shared" si="15"/>
        <v> </v>
      </c>
      <c r="S83" t="str">
        <f t="shared" si="16"/>
        <v> </v>
      </c>
      <c r="T83" t="str">
        <f t="shared" si="17"/>
        <v> </v>
      </c>
    </row>
    <row r="84" spans="1:20" ht="12.75">
      <c r="A84" s="82"/>
      <c r="B84" s="82"/>
      <c r="C84" s="77"/>
      <c r="D84" s="49" t="str">
        <f t="shared" si="12"/>
        <v> </v>
      </c>
      <c r="P84" t="str">
        <f t="shared" si="13"/>
        <v> </v>
      </c>
      <c r="Q84" t="str">
        <f t="shared" si="14"/>
        <v> </v>
      </c>
      <c r="R84" t="str">
        <f t="shared" si="15"/>
        <v> </v>
      </c>
      <c r="S84" t="str">
        <f t="shared" si="16"/>
        <v> </v>
      </c>
      <c r="T84" t="str">
        <f t="shared" si="17"/>
        <v> </v>
      </c>
    </row>
    <row r="85" spans="1:20" ht="12.75">
      <c r="A85" s="82"/>
      <c r="B85" s="82"/>
      <c r="C85" s="77"/>
      <c r="D85" s="49" t="str">
        <f t="shared" si="12"/>
        <v> </v>
      </c>
      <c r="P85" t="str">
        <f t="shared" si="13"/>
        <v> </v>
      </c>
      <c r="Q85" t="str">
        <f t="shared" si="14"/>
        <v> </v>
      </c>
      <c r="R85" t="str">
        <f t="shared" si="15"/>
        <v> </v>
      </c>
      <c r="S85" t="str">
        <f t="shared" si="16"/>
        <v> </v>
      </c>
      <c r="T85" t="str">
        <f t="shared" si="17"/>
        <v> </v>
      </c>
    </row>
    <row r="86" spans="1:20" ht="12.75">
      <c r="A86" s="82"/>
      <c r="B86" s="82"/>
      <c r="C86" s="77"/>
      <c r="D86" s="49" t="str">
        <f t="shared" si="12"/>
        <v> </v>
      </c>
      <c r="P86" t="str">
        <f t="shared" si="13"/>
        <v> </v>
      </c>
      <c r="Q86" t="str">
        <f t="shared" si="14"/>
        <v> </v>
      </c>
      <c r="R86" t="str">
        <f t="shared" si="15"/>
        <v> </v>
      </c>
      <c r="S86" t="str">
        <f t="shared" si="16"/>
        <v> </v>
      </c>
      <c r="T86" t="str">
        <f t="shared" si="17"/>
        <v> </v>
      </c>
    </row>
    <row r="87" spans="1:20" ht="12.75">
      <c r="A87" s="82"/>
      <c r="B87" s="82"/>
      <c r="C87" s="77"/>
      <c r="D87" s="49" t="str">
        <f t="shared" si="12"/>
        <v> </v>
      </c>
      <c r="P87" t="str">
        <f t="shared" si="13"/>
        <v> </v>
      </c>
      <c r="Q87" t="str">
        <f t="shared" si="14"/>
        <v> </v>
      </c>
      <c r="R87" t="str">
        <f t="shared" si="15"/>
        <v> </v>
      </c>
      <c r="S87" t="str">
        <f t="shared" si="16"/>
        <v> </v>
      </c>
      <c r="T87" t="str">
        <f t="shared" si="17"/>
        <v> </v>
      </c>
    </row>
    <row r="88" spans="1:20" ht="12.75">
      <c r="A88" s="82"/>
      <c r="B88" s="82"/>
      <c r="C88" s="77"/>
      <c r="D88" s="49" t="str">
        <f t="shared" si="12"/>
        <v> </v>
      </c>
      <c r="P88" t="str">
        <f t="shared" si="13"/>
        <v> </v>
      </c>
      <c r="Q88" t="str">
        <f t="shared" si="14"/>
        <v> </v>
      </c>
      <c r="R88" t="str">
        <f t="shared" si="15"/>
        <v> </v>
      </c>
      <c r="S88" t="str">
        <f t="shared" si="16"/>
        <v> </v>
      </c>
      <c r="T88" t="str">
        <f t="shared" si="17"/>
        <v> </v>
      </c>
    </row>
    <row r="89" spans="1:20" ht="12.75">
      <c r="A89" s="82"/>
      <c r="B89" s="82"/>
      <c r="C89" s="77"/>
      <c r="D89" s="49" t="str">
        <f t="shared" si="12"/>
        <v> </v>
      </c>
      <c r="P89" t="str">
        <f t="shared" si="13"/>
        <v> </v>
      </c>
      <c r="Q89" t="str">
        <f t="shared" si="14"/>
        <v> </v>
      </c>
      <c r="R89" t="str">
        <f t="shared" si="15"/>
        <v> </v>
      </c>
      <c r="S89" t="str">
        <f t="shared" si="16"/>
        <v> </v>
      </c>
      <c r="T89" t="str">
        <f t="shared" si="17"/>
        <v> </v>
      </c>
    </row>
    <row r="90" spans="1:20" ht="12.75">
      <c r="A90" s="82"/>
      <c r="B90" s="82"/>
      <c r="C90" s="77"/>
      <c r="D90" s="49" t="str">
        <f t="shared" si="12"/>
        <v> </v>
      </c>
      <c r="P90" t="str">
        <f t="shared" si="13"/>
        <v> </v>
      </c>
      <c r="Q90" t="str">
        <f t="shared" si="14"/>
        <v> </v>
      </c>
      <c r="R90" t="str">
        <f t="shared" si="15"/>
        <v> </v>
      </c>
      <c r="S90" t="str">
        <f t="shared" si="16"/>
        <v> </v>
      </c>
      <c r="T90" t="str">
        <f t="shared" si="17"/>
        <v> </v>
      </c>
    </row>
    <row r="91" spans="1:20" ht="12.75">
      <c r="A91" s="82"/>
      <c r="B91" s="82"/>
      <c r="C91" s="77"/>
      <c r="D91" s="49" t="str">
        <f t="shared" si="12"/>
        <v> </v>
      </c>
      <c r="P91" t="str">
        <f t="shared" si="13"/>
        <v> </v>
      </c>
      <c r="Q91" t="str">
        <f t="shared" si="14"/>
        <v> </v>
      </c>
      <c r="R91" t="str">
        <f t="shared" si="15"/>
        <v> </v>
      </c>
      <c r="S91" t="str">
        <f t="shared" si="16"/>
        <v> </v>
      </c>
      <c r="T91" t="str">
        <f t="shared" si="17"/>
        <v> </v>
      </c>
    </row>
    <row r="92" spans="1:20" ht="12.75">
      <c r="A92" s="82"/>
      <c r="B92" s="82"/>
      <c r="C92" s="77"/>
      <c r="D92" s="49" t="str">
        <f t="shared" si="12"/>
        <v> </v>
      </c>
      <c r="P92" t="str">
        <f t="shared" si="13"/>
        <v> </v>
      </c>
      <c r="Q92" t="str">
        <f t="shared" si="14"/>
        <v> </v>
      </c>
      <c r="R92" t="str">
        <f t="shared" si="15"/>
        <v> </v>
      </c>
      <c r="S92" t="str">
        <f t="shared" si="16"/>
        <v> </v>
      </c>
      <c r="T92" t="str">
        <f t="shared" si="17"/>
        <v> </v>
      </c>
    </row>
    <row r="93" spans="1:20" ht="12.75">
      <c r="A93" s="82"/>
      <c r="B93" s="82"/>
      <c r="C93" s="77"/>
      <c r="D93" s="49" t="str">
        <f aca="true" t="shared" si="18" ref="D93:D124">IF(ROW(D93)-($J$10+2)&gt;0," ",(A93-($F$5+$F$6*B93))^2)</f>
        <v> </v>
      </c>
      <c r="P93" t="str">
        <f t="shared" si="13"/>
        <v> </v>
      </c>
      <c r="Q93" t="str">
        <f t="shared" si="14"/>
        <v> </v>
      </c>
      <c r="R93" t="str">
        <f t="shared" si="15"/>
        <v> </v>
      </c>
      <c r="S93" t="str">
        <f t="shared" si="16"/>
        <v> </v>
      </c>
      <c r="T93" t="str">
        <f t="shared" si="17"/>
        <v> </v>
      </c>
    </row>
    <row r="94" spans="1:20" ht="12.75">
      <c r="A94" s="82"/>
      <c r="B94" s="82"/>
      <c r="C94" s="77"/>
      <c r="D94" s="49" t="str">
        <f t="shared" si="18"/>
        <v> </v>
      </c>
      <c r="P94" t="str">
        <f t="shared" si="13"/>
        <v> </v>
      </c>
      <c r="Q94" t="str">
        <f t="shared" si="14"/>
        <v> </v>
      </c>
      <c r="R94" t="str">
        <f t="shared" si="15"/>
        <v> </v>
      </c>
      <c r="S94" t="str">
        <f t="shared" si="16"/>
        <v> </v>
      </c>
      <c r="T94" t="str">
        <f t="shared" si="17"/>
        <v> </v>
      </c>
    </row>
    <row r="95" spans="1:20" ht="12.75">
      <c r="A95" s="82"/>
      <c r="B95" s="82"/>
      <c r="C95" s="77"/>
      <c r="D95" s="49" t="str">
        <f t="shared" si="18"/>
        <v> </v>
      </c>
      <c r="P95" t="str">
        <f t="shared" si="13"/>
        <v> </v>
      </c>
      <c r="Q95" t="str">
        <f t="shared" si="14"/>
        <v> </v>
      </c>
      <c r="R95" t="str">
        <f t="shared" si="15"/>
        <v> </v>
      </c>
      <c r="S95" t="str">
        <f t="shared" si="16"/>
        <v> </v>
      </c>
      <c r="T95" t="str">
        <f t="shared" si="17"/>
        <v> </v>
      </c>
    </row>
    <row r="96" spans="1:20" ht="12.75">
      <c r="A96" s="82"/>
      <c r="B96" s="82"/>
      <c r="C96" s="77"/>
      <c r="D96" s="49" t="str">
        <f t="shared" si="18"/>
        <v> </v>
      </c>
      <c r="P96" t="str">
        <f t="shared" si="13"/>
        <v> </v>
      </c>
      <c r="Q96" t="str">
        <f t="shared" si="14"/>
        <v> </v>
      </c>
      <c r="R96" t="str">
        <f t="shared" si="15"/>
        <v> </v>
      </c>
      <c r="S96" t="str">
        <f t="shared" si="16"/>
        <v> </v>
      </c>
      <c r="T96" t="str">
        <f t="shared" si="17"/>
        <v> </v>
      </c>
    </row>
    <row r="97" spans="1:20" ht="12.75">
      <c r="A97" s="82"/>
      <c r="B97" s="82"/>
      <c r="C97" s="77"/>
      <c r="D97" s="49" t="str">
        <f t="shared" si="18"/>
        <v> </v>
      </c>
      <c r="P97" t="str">
        <f t="shared" si="13"/>
        <v> </v>
      </c>
      <c r="Q97" t="str">
        <f t="shared" si="14"/>
        <v> </v>
      </c>
      <c r="R97" t="str">
        <f t="shared" si="15"/>
        <v> </v>
      </c>
      <c r="S97" t="str">
        <f t="shared" si="16"/>
        <v> </v>
      </c>
      <c r="T97" t="str">
        <f t="shared" si="17"/>
        <v> </v>
      </c>
    </row>
    <row r="98" spans="1:20" ht="12.75">
      <c r="A98" s="82"/>
      <c r="B98" s="82"/>
      <c r="C98" s="77"/>
      <c r="D98" s="49" t="str">
        <f t="shared" si="18"/>
        <v> </v>
      </c>
      <c r="P98" t="str">
        <f t="shared" si="13"/>
        <v> </v>
      </c>
      <c r="Q98" t="str">
        <f t="shared" si="14"/>
        <v> </v>
      </c>
      <c r="R98" t="str">
        <f t="shared" si="15"/>
        <v> </v>
      </c>
      <c r="S98" t="str">
        <f t="shared" si="16"/>
        <v> </v>
      </c>
      <c r="T98" t="str">
        <f t="shared" si="17"/>
        <v> </v>
      </c>
    </row>
    <row r="99" spans="1:20" ht="12.75">
      <c r="A99" s="82"/>
      <c r="B99" s="82"/>
      <c r="C99" s="77"/>
      <c r="D99" s="49" t="str">
        <f t="shared" si="18"/>
        <v> </v>
      </c>
      <c r="P99" t="str">
        <f t="shared" si="13"/>
        <v> </v>
      </c>
      <c r="Q99" t="str">
        <f t="shared" si="14"/>
        <v> </v>
      </c>
      <c r="R99" t="str">
        <f t="shared" si="15"/>
        <v> </v>
      </c>
      <c r="S99" t="str">
        <f t="shared" si="16"/>
        <v> </v>
      </c>
      <c r="T99" t="str">
        <f t="shared" si="17"/>
        <v> </v>
      </c>
    </row>
    <row r="100" spans="1:20" ht="12.75">
      <c r="A100" s="82"/>
      <c r="B100" s="82"/>
      <c r="C100" s="77"/>
      <c r="D100" s="49" t="str">
        <f t="shared" si="18"/>
        <v> </v>
      </c>
      <c r="P100" t="str">
        <f t="shared" si="13"/>
        <v> </v>
      </c>
      <c r="Q100" t="str">
        <f t="shared" si="14"/>
        <v> </v>
      </c>
      <c r="R100" t="str">
        <f t="shared" si="15"/>
        <v> </v>
      </c>
      <c r="S100" t="str">
        <f t="shared" si="16"/>
        <v> </v>
      </c>
      <c r="T100" t="str">
        <f t="shared" si="17"/>
        <v> </v>
      </c>
    </row>
    <row r="101" spans="1:20" ht="12.75">
      <c r="A101" s="82"/>
      <c r="B101" s="82"/>
      <c r="C101" s="77"/>
      <c r="D101" s="49" t="str">
        <f t="shared" si="18"/>
        <v> </v>
      </c>
      <c r="P101" t="str">
        <f t="shared" si="13"/>
        <v> </v>
      </c>
      <c r="Q101" t="str">
        <f t="shared" si="14"/>
        <v> </v>
      </c>
      <c r="R101" t="str">
        <f t="shared" si="15"/>
        <v> </v>
      </c>
      <c r="S101" t="str">
        <f t="shared" si="16"/>
        <v> </v>
      </c>
      <c r="T101" t="str">
        <f t="shared" si="17"/>
        <v> </v>
      </c>
    </row>
    <row r="102" spans="1:20" ht="12.75">
      <c r="A102" s="82"/>
      <c r="B102" s="82"/>
      <c r="C102" s="77"/>
      <c r="D102" s="49" t="str">
        <f t="shared" si="18"/>
        <v> </v>
      </c>
      <c r="P102" t="str">
        <f t="shared" si="13"/>
        <v> </v>
      </c>
      <c r="Q102" t="str">
        <f t="shared" si="14"/>
        <v> </v>
      </c>
      <c r="R102" t="str">
        <f t="shared" si="15"/>
        <v> </v>
      </c>
      <c r="S102" t="str">
        <f t="shared" si="16"/>
        <v> </v>
      </c>
      <c r="T102" t="str">
        <f t="shared" si="17"/>
        <v> </v>
      </c>
    </row>
    <row r="103" spans="1:20" ht="12.75">
      <c r="A103" s="82"/>
      <c r="B103" s="82"/>
      <c r="C103" s="77"/>
      <c r="D103" s="49" t="str">
        <f t="shared" si="18"/>
        <v> </v>
      </c>
      <c r="P103" t="str">
        <f t="shared" si="13"/>
        <v> </v>
      </c>
      <c r="Q103" t="str">
        <f t="shared" si="14"/>
        <v> </v>
      </c>
      <c r="R103" t="str">
        <f t="shared" si="15"/>
        <v> </v>
      </c>
      <c r="S103" t="str">
        <f t="shared" si="16"/>
        <v> </v>
      </c>
      <c r="T103" t="str">
        <f t="shared" si="17"/>
        <v> </v>
      </c>
    </row>
    <row r="104" spans="1:4" ht="12.75">
      <c r="A104" s="100"/>
      <c r="B104" s="100"/>
      <c r="C104" s="77"/>
      <c r="D104" s="49" t="str">
        <f t="shared" si="18"/>
        <v> </v>
      </c>
    </row>
    <row r="105" spans="1:4" ht="12.75">
      <c r="A105" s="101"/>
      <c r="B105" s="101"/>
      <c r="C105" s="77"/>
      <c r="D105" s="49" t="str">
        <f t="shared" si="18"/>
        <v> </v>
      </c>
    </row>
    <row r="106" spans="1:4" ht="12.75">
      <c r="A106" s="101"/>
      <c r="B106" s="101"/>
      <c r="C106" s="77"/>
      <c r="D106" s="49" t="str">
        <f t="shared" si="18"/>
        <v> </v>
      </c>
    </row>
    <row r="107" spans="1:4" ht="12.75">
      <c r="A107" s="101"/>
      <c r="B107" s="101"/>
      <c r="C107" s="77"/>
      <c r="D107" s="49" t="str">
        <f t="shared" si="18"/>
        <v> </v>
      </c>
    </row>
    <row r="108" spans="1:4" ht="12.75">
      <c r="A108" s="101"/>
      <c r="B108" s="101"/>
      <c r="C108" s="77"/>
      <c r="D108" s="49" t="str">
        <f t="shared" si="18"/>
        <v> </v>
      </c>
    </row>
    <row r="109" spans="1:4" ht="12.75">
      <c r="A109" s="101"/>
      <c r="B109" s="101"/>
      <c r="C109" s="77"/>
      <c r="D109" s="49" t="str">
        <f t="shared" si="18"/>
        <v> </v>
      </c>
    </row>
    <row r="110" spans="1:4" ht="12.75">
      <c r="A110" s="101"/>
      <c r="B110" s="101"/>
      <c r="C110" s="77"/>
      <c r="D110" s="49" t="str">
        <f t="shared" si="18"/>
        <v> </v>
      </c>
    </row>
    <row r="111" spans="1:4" ht="12.75">
      <c r="A111" s="101"/>
      <c r="B111" s="101"/>
      <c r="C111" s="77"/>
      <c r="D111" s="49" t="str">
        <f t="shared" si="18"/>
        <v> </v>
      </c>
    </row>
    <row r="112" spans="1:4" ht="12.75">
      <c r="A112" s="101"/>
      <c r="B112" s="101"/>
      <c r="C112" s="77"/>
      <c r="D112" s="49" t="str">
        <f t="shared" si="18"/>
        <v> </v>
      </c>
    </row>
    <row r="113" spans="1:4" ht="12.75">
      <c r="A113" s="101"/>
      <c r="B113" s="101"/>
      <c r="C113" s="77"/>
      <c r="D113" s="49" t="str">
        <f t="shared" si="18"/>
        <v> </v>
      </c>
    </row>
    <row r="114" spans="1:4" ht="12.75">
      <c r="A114" s="101"/>
      <c r="B114" s="101"/>
      <c r="C114" s="77"/>
      <c r="D114" s="49" t="str">
        <f t="shared" si="18"/>
        <v> </v>
      </c>
    </row>
    <row r="115" spans="1:4" ht="12.75">
      <c r="A115" s="101"/>
      <c r="B115" s="101"/>
      <c r="C115" s="77"/>
      <c r="D115" s="49" t="str">
        <f t="shared" si="18"/>
        <v> </v>
      </c>
    </row>
    <row r="116" spans="1:4" ht="12.75">
      <c r="A116" s="101"/>
      <c r="B116" s="101"/>
      <c r="C116" s="77"/>
      <c r="D116" s="49" t="str">
        <f t="shared" si="18"/>
        <v> </v>
      </c>
    </row>
    <row r="117" spans="1:4" ht="12.75">
      <c r="A117" s="101"/>
      <c r="B117" s="101"/>
      <c r="C117" s="77"/>
      <c r="D117" s="49" t="str">
        <f t="shared" si="18"/>
        <v> </v>
      </c>
    </row>
    <row r="118" spans="1:4" ht="12.75">
      <c r="A118" s="101"/>
      <c r="B118" s="101"/>
      <c r="C118" s="77"/>
      <c r="D118" s="49" t="str">
        <f t="shared" si="18"/>
        <v> </v>
      </c>
    </row>
    <row r="119" spans="1:4" ht="12.75">
      <c r="A119" s="101"/>
      <c r="B119" s="101"/>
      <c r="C119" s="77"/>
      <c r="D119" s="49" t="str">
        <f t="shared" si="18"/>
        <v> </v>
      </c>
    </row>
    <row r="120" spans="1:4" ht="12.75">
      <c r="A120" s="101"/>
      <c r="B120" s="101"/>
      <c r="C120" s="77"/>
      <c r="D120" s="49" t="str">
        <f t="shared" si="18"/>
        <v> </v>
      </c>
    </row>
    <row r="121" spans="1:4" ht="12.75">
      <c r="A121" s="101"/>
      <c r="B121" s="101"/>
      <c r="C121" s="77"/>
      <c r="D121" s="49" t="str">
        <f t="shared" si="18"/>
        <v> </v>
      </c>
    </row>
    <row r="122" spans="1:4" ht="12.75">
      <c r="A122" s="101"/>
      <c r="B122" s="101"/>
      <c r="C122" s="77"/>
      <c r="D122" s="49" t="str">
        <f t="shared" si="18"/>
        <v> </v>
      </c>
    </row>
    <row r="123" spans="1:4" ht="12.75">
      <c r="A123" s="101"/>
      <c r="B123" s="101"/>
      <c r="C123" s="77"/>
      <c r="D123" s="49" t="str">
        <f t="shared" si="18"/>
        <v> </v>
      </c>
    </row>
    <row r="124" spans="1:4" ht="12.75">
      <c r="A124" s="101"/>
      <c r="B124" s="101"/>
      <c r="C124" s="77"/>
      <c r="D124" s="49" t="str">
        <f t="shared" si="18"/>
        <v> </v>
      </c>
    </row>
    <row r="125" spans="1:4" ht="12.75">
      <c r="A125" s="101"/>
      <c r="B125" s="101"/>
      <c r="C125" s="77"/>
      <c r="D125" s="49" t="str">
        <f aca="true" t="shared" si="19" ref="D125:D156">IF(ROW(D125)-($J$10+2)&gt;0," ",(A125-($F$5+$F$6*B125))^2)</f>
        <v> </v>
      </c>
    </row>
    <row r="126" spans="1:4" ht="12.75">
      <c r="A126" s="101"/>
      <c r="B126" s="101"/>
      <c r="C126" s="77"/>
      <c r="D126" s="49" t="str">
        <f t="shared" si="19"/>
        <v> </v>
      </c>
    </row>
    <row r="127" spans="1:4" ht="12.75">
      <c r="A127" s="101"/>
      <c r="B127" s="101"/>
      <c r="C127" s="77"/>
      <c r="D127" s="49" t="str">
        <f t="shared" si="19"/>
        <v> </v>
      </c>
    </row>
    <row r="128" spans="1:4" ht="12.75">
      <c r="A128" s="101"/>
      <c r="B128" s="101"/>
      <c r="C128" s="77"/>
      <c r="D128" s="49" t="str">
        <f t="shared" si="19"/>
        <v> </v>
      </c>
    </row>
    <row r="129" spans="1:4" ht="12.75">
      <c r="A129" s="101"/>
      <c r="B129" s="101"/>
      <c r="C129" s="77"/>
      <c r="D129" s="49" t="str">
        <f t="shared" si="19"/>
        <v> </v>
      </c>
    </row>
    <row r="130" spans="1:4" ht="12.75">
      <c r="A130" s="101"/>
      <c r="B130" s="101"/>
      <c r="C130" s="77"/>
      <c r="D130" s="49" t="str">
        <f t="shared" si="19"/>
        <v> </v>
      </c>
    </row>
    <row r="131" spans="1:4" ht="12.75">
      <c r="A131" s="101"/>
      <c r="B131" s="101"/>
      <c r="C131" s="77"/>
      <c r="D131" s="49" t="str">
        <f t="shared" si="19"/>
        <v> </v>
      </c>
    </row>
    <row r="132" spans="1:4" ht="12.75">
      <c r="A132" s="101"/>
      <c r="B132" s="101"/>
      <c r="C132" s="77"/>
      <c r="D132" s="49" t="str">
        <f t="shared" si="19"/>
        <v> </v>
      </c>
    </row>
    <row r="133" spans="1:4" ht="12.75">
      <c r="A133" s="101"/>
      <c r="B133" s="101"/>
      <c r="C133" s="77"/>
      <c r="D133" s="49" t="str">
        <f t="shared" si="19"/>
        <v> </v>
      </c>
    </row>
    <row r="134" spans="1:4" ht="12.75">
      <c r="A134" s="101"/>
      <c r="B134" s="101"/>
      <c r="C134" s="77"/>
      <c r="D134" s="49" t="str">
        <f t="shared" si="19"/>
        <v> </v>
      </c>
    </row>
    <row r="135" spans="1:4" ht="12.75">
      <c r="A135" s="101"/>
      <c r="B135" s="101"/>
      <c r="C135" s="77"/>
      <c r="D135" s="49" t="str">
        <f t="shared" si="19"/>
        <v> </v>
      </c>
    </row>
    <row r="136" spans="1:4" ht="12.75">
      <c r="A136" s="101"/>
      <c r="B136" s="101"/>
      <c r="C136" s="77"/>
      <c r="D136" s="49" t="str">
        <f t="shared" si="19"/>
        <v> </v>
      </c>
    </row>
    <row r="137" spans="1:4" ht="12.75">
      <c r="A137" s="101"/>
      <c r="B137" s="101"/>
      <c r="C137" s="77"/>
      <c r="D137" s="49" t="str">
        <f t="shared" si="19"/>
        <v> </v>
      </c>
    </row>
    <row r="138" spans="1:4" ht="12.75">
      <c r="A138" s="101"/>
      <c r="B138" s="101"/>
      <c r="C138" s="77"/>
      <c r="D138" s="49" t="str">
        <f t="shared" si="19"/>
        <v> </v>
      </c>
    </row>
    <row r="139" spans="1:4" ht="12.75">
      <c r="A139" s="101"/>
      <c r="B139" s="101"/>
      <c r="C139" s="77"/>
      <c r="D139" s="49" t="str">
        <f t="shared" si="19"/>
        <v> </v>
      </c>
    </row>
    <row r="140" spans="1:4" ht="12.75">
      <c r="A140" s="101"/>
      <c r="B140" s="101"/>
      <c r="C140" s="77"/>
      <c r="D140" s="49" t="str">
        <f t="shared" si="19"/>
        <v> </v>
      </c>
    </row>
    <row r="141" spans="1:4" ht="12.75">
      <c r="A141" s="101"/>
      <c r="B141" s="101"/>
      <c r="C141" s="77"/>
      <c r="D141" s="49" t="str">
        <f t="shared" si="19"/>
        <v> </v>
      </c>
    </row>
    <row r="142" spans="1:4" ht="12.75">
      <c r="A142" s="101"/>
      <c r="B142" s="101"/>
      <c r="C142" s="77"/>
      <c r="D142" s="49" t="str">
        <f t="shared" si="19"/>
        <v> </v>
      </c>
    </row>
    <row r="143" spans="1:4" ht="12.75">
      <c r="A143" s="101"/>
      <c r="B143" s="101"/>
      <c r="C143" s="77"/>
      <c r="D143" s="49" t="str">
        <f t="shared" si="19"/>
        <v> </v>
      </c>
    </row>
    <row r="144" spans="1:4" ht="12.75">
      <c r="A144" s="101"/>
      <c r="B144" s="101"/>
      <c r="C144" s="77"/>
      <c r="D144" s="49" t="str">
        <f t="shared" si="19"/>
        <v> </v>
      </c>
    </row>
    <row r="145" spans="1:4" ht="12.75">
      <c r="A145" s="101"/>
      <c r="B145" s="101"/>
      <c r="C145" s="77"/>
      <c r="D145" s="49" t="str">
        <f t="shared" si="19"/>
        <v> </v>
      </c>
    </row>
    <row r="146" spans="1:4" ht="12.75">
      <c r="A146" s="101"/>
      <c r="B146" s="101"/>
      <c r="C146" s="77"/>
      <c r="D146" s="49" t="str">
        <f t="shared" si="19"/>
        <v> </v>
      </c>
    </row>
    <row r="147" spans="1:4" ht="12.75">
      <c r="A147" s="101"/>
      <c r="B147" s="101"/>
      <c r="C147" s="77"/>
      <c r="D147" s="49" t="str">
        <f t="shared" si="19"/>
        <v> </v>
      </c>
    </row>
    <row r="148" spans="1:4" ht="12.75">
      <c r="A148" s="101"/>
      <c r="B148" s="101"/>
      <c r="C148" s="77"/>
      <c r="D148" s="49" t="str">
        <f t="shared" si="19"/>
        <v> </v>
      </c>
    </row>
    <row r="149" spans="1:4" ht="12.75">
      <c r="A149" s="101"/>
      <c r="B149" s="101"/>
      <c r="C149" s="77"/>
      <c r="D149" s="49" t="str">
        <f t="shared" si="19"/>
        <v> </v>
      </c>
    </row>
    <row r="150" spans="1:4" ht="12.75">
      <c r="A150" s="101"/>
      <c r="B150" s="101"/>
      <c r="C150" s="77"/>
      <c r="D150" s="49" t="str">
        <f t="shared" si="19"/>
        <v> </v>
      </c>
    </row>
    <row r="151" spans="1:4" ht="12.75">
      <c r="A151" s="101"/>
      <c r="B151" s="101"/>
      <c r="C151" s="77"/>
      <c r="D151" s="49" t="str">
        <f t="shared" si="19"/>
        <v> </v>
      </c>
    </row>
    <row r="152" spans="1:4" ht="12.75">
      <c r="A152" s="101"/>
      <c r="B152" s="101"/>
      <c r="C152" s="77"/>
      <c r="D152" s="49" t="str">
        <f t="shared" si="19"/>
        <v> </v>
      </c>
    </row>
    <row r="153" spans="1:4" ht="12.75">
      <c r="A153" s="101"/>
      <c r="B153" s="101"/>
      <c r="C153" s="77"/>
      <c r="D153" s="49" t="str">
        <f t="shared" si="19"/>
        <v> </v>
      </c>
    </row>
    <row r="154" spans="1:4" ht="12.75">
      <c r="A154" s="101"/>
      <c r="B154" s="101"/>
      <c r="C154" s="77"/>
      <c r="D154" s="49" t="str">
        <f t="shared" si="19"/>
        <v> </v>
      </c>
    </row>
    <row r="155" spans="1:4" ht="12.75">
      <c r="A155" s="101"/>
      <c r="B155" s="101"/>
      <c r="C155" s="77"/>
      <c r="D155" s="49" t="str">
        <f t="shared" si="19"/>
        <v> </v>
      </c>
    </row>
    <row r="156" spans="1:4" ht="12.75">
      <c r="A156" s="101"/>
      <c r="B156" s="101"/>
      <c r="C156" s="77"/>
      <c r="D156" s="49" t="str">
        <f t="shared" si="19"/>
        <v> </v>
      </c>
    </row>
    <row r="157" spans="1:4" ht="12.75">
      <c r="A157" s="101"/>
      <c r="B157" s="101"/>
      <c r="C157" s="77"/>
      <c r="D157" s="49" t="str">
        <f aca="true" t="shared" si="20" ref="D157:D188">IF(ROW(D157)-($J$10+2)&gt;0," ",(A157-($F$5+$F$6*B157))^2)</f>
        <v> </v>
      </c>
    </row>
    <row r="158" spans="1:4" ht="12.75">
      <c r="A158" s="101"/>
      <c r="B158" s="101"/>
      <c r="C158" s="77"/>
      <c r="D158" s="49" t="str">
        <f t="shared" si="20"/>
        <v> </v>
      </c>
    </row>
    <row r="159" spans="1:4" ht="12.75">
      <c r="A159" s="101"/>
      <c r="B159" s="101"/>
      <c r="C159" s="77"/>
      <c r="D159" s="49" t="str">
        <f t="shared" si="20"/>
        <v> </v>
      </c>
    </row>
    <row r="160" spans="1:4" ht="12.75">
      <c r="A160" s="101"/>
      <c r="B160" s="101"/>
      <c r="C160" s="77"/>
      <c r="D160" s="49" t="str">
        <f t="shared" si="20"/>
        <v> </v>
      </c>
    </row>
    <row r="161" spans="1:4" ht="12.75">
      <c r="A161" s="101"/>
      <c r="B161" s="101"/>
      <c r="C161" s="77"/>
      <c r="D161" s="49" t="str">
        <f t="shared" si="20"/>
        <v> </v>
      </c>
    </row>
    <row r="162" spans="1:4" ht="12.75">
      <c r="A162" s="101"/>
      <c r="B162" s="101"/>
      <c r="C162" s="77"/>
      <c r="D162" s="49" t="str">
        <f t="shared" si="20"/>
        <v> </v>
      </c>
    </row>
    <row r="163" spans="1:4" ht="12.75">
      <c r="A163" s="101"/>
      <c r="B163" s="101"/>
      <c r="C163" s="77"/>
      <c r="D163" s="49" t="str">
        <f t="shared" si="20"/>
        <v> </v>
      </c>
    </row>
    <row r="164" spans="1:4" ht="12.75">
      <c r="A164" s="101"/>
      <c r="B164" s="101"/>
      <c r="C164" s="77"/>
      <c r="D164" s="49" t="str">
        <f t="shared" si="20"/>
        <v> </v>
      </c>
    </row>
    <row r="165" spans="1:4" ht="12.75">
      <c r="A165" s="101"/>
      <c r="B165" s="101"/>
      <c r="C165" s="77"/>
      <c r="D165" s="49" t="str">
        <f t="shared" si="20"/>
        <v> </v>
      </c>
    </row>
    <row r="166" spans="1:4" ht="12.75">
      <c r="A166" s="101"/>
      <c r="B166" s="101"/>
      <c r="C166" s="77"/>
      <c r="D166" s="49" t="str">
        <f t="shared" si="20"/>
        <v> </v>
      </c>
    </row>
    <row r="167" spans="1:4" ht="12.75">
      <c r="A167" s="101"/>
      <c r="B167" s="101"/>
      <c r="C167" s="77"/>
      <c r="D167" s="49" t="str">
        <f t="shared" si="20"/>
        <v> </v>
      </c>
    </row>
    <row r="168" spans="1:4" ht="12.75">
      <c r="A168" s="101"/>
      <c r="B168" s="101"/>
      <c r="C168" s="77"/>
      <c r="D168" s="49" t="str">
        <f t="shared" si="20"/>
        <v> </v>
      </c>
    </row>
    <row r="169" spans="1:4" ht="12.75">
      <c r="A169" s="101"/>
      <c r="B169" s="101"/>
      <c r="C169" s="77"/>
      <c r="D169" s="49" t="str">
        <f t="shared" si="20"/>
        <v> </v>
      </c>
    </row>
    <row r="170" spans="1:4" ht="12.75">
      <c r="A170" s="101"/>
      <c r="B170" s="101"/>
      <c r="C170" s="77"/>
      <c r="D170" s="49" t="str">
        <f t="shared" si="20"/>
        <v> </v>
      </c>
    </row>
    <row r="171" spans="1:4" ht="12.75">
      <c r="A171" s="101"/>
      <c r="B171" s="101"/>
      <c r="C171" s="77"/>
      <c r="D171" s="49" t="str">
        <f t="shared" si="20"/>
        <v> </v>
      </c>
    </row>
    <row r="172" spans="1:4" ht="12.75">
      <c r="A172" s="101"/>
      <c r="B172" s="101"/>
      <c r="C172" s="77"/>
      <c r="D172" s="49" t="str">
        <f t="shared" si="20"/>
        <v> </v>
      </c>
    </row>
    <row r="173" spans="1:4" ht="12.75">
      <c r="A173" s="101"/>
      <c r="B173" s="101"/>
      <c r="C173" s="77"/>
      <c r="D173" s="49" t="str">
        <f t="shared" si="20"/>
        <v> </v>
      </c>
    </row>
    <row r="174" spans="1:4" ht="12.75">
      <c r="A174" s="101"/>
      <c r="B174" s="101"/>
      <c r="C174" s="77"/>
      <c r="D174" s="49" t="str">
        <f t="shared" si="20"/>
        <v> </v>
      </c>
    </row>
    <row r="175" spans="1:4" ht="12.75">
      <c r="A175" s="101"/>
      <c r="B175" s="101"/>
      <c r="C175" s="77"/>
      <c r="D175" s="49" t="str">
        <f t="shared" si="20"/>
        <v> </v>
      </c>
    </row>
    <row r="176" spans="1:4" ht="12.75">
      <c r="A176" s="101"/>
      <c r="B176" s="101"/>
      <c r="C176" s="77"/>
      <c r="D176" s="49" t="str">
        <f t="shared" si="20"/>
        <v> </v>
      </c>
    </row>
    <row r="177" spans="1:4" ht="12.75">
      <c r="A177" s="101"/>
      <c r="B177" s="101"/>
      <c r="C177" s="77"/>
      <c r="D177" s="49" t="str">
        <f t="shared" si="20"/>
        <v> </v>
      </c>
    </row>
    <row r="178" spans="1:4" ht="12.75">
      <c r="A178" s="101"/>
      <c r="B178" s="101"/>
      <c r="C178" s="77"/>
      <c r="D178" s="49" t="str">
        <f t="shared" si="20"/>
        <v> </v>
      </c>
    </row>
    <row r="179" spans="1:4" ht="12.75">
      <c r="A179" s="101"/>
      <c r="B179" s="101"/>
      <c r="C179" s="77"/>
      <c r="D179" s="49" t="str">
        <f t="shared" si="20"/>
        <v> </v>
      </c>
    </row>
    <row r="180" spans="1:4" ht="12.75">
      <c r="A180" s="101"/>
      <c r="B180" s="101"/>
      <c r="C180" s="77"/>
      <c r="D180" s="49" t="str">
        <f t="shared" si="20"/>
        <v> </v>
      </c>
    </row>
    <row r="181" spans="1:4" ht="12.75">
      <c r="A181" s="101"/>
      <c r="B181" s="101"/>
      <c r="C181" s="77"/>
      <c r="D181" s="49" t="str">
        <f t="shared" si="20"/>
        <v> </v>
      </c>
    </row>
    <row r="182" spans="1:4" ht="12.75">
      <c r="A182" s="101"/>
      <c r="B182" s="101"/>
      <c r="C182" s="77"/>
      <c r="D182" s="49" t="str">
        <f t="shared" si="20"/>
        <v> </v>
      </c>
    </row>
    <row r="183" spans="1:4" ht="12.75">
      <c r="A183" s="101"/>
      <c r="B183" s="101"/>
      <c r="C183" s="77"/>
      <c r="D183" s="49" t="str">
        <f t="shared" si="20"/>
        <v> </v>
      </c>
    </row>
    <row r="184" spans="1:4" ht="12.75">
      <c r="A184" s="101"/>
      <c r="B184" s="101"/>
      <c r="C184" s="77"/>
      <c r="D184" s="49" t="str">
        <f t="shared" si="20"/>
        <v> </v>
      </c>
    </row>
    <row r="185" spans="1:4" ht="12.75">
      <c r="A185" s="101"/>
      <c r="B185" s="101"/>
      <c r="C185" s="77"/>
      <c r="D185" s="49" t="str">
        <f t="shared" si="20"/>
        <v> </v>
      </c>
    </row>
    <row r="186" spans="1:4" ht="12.75">
      <c r="A186" s="101"/>
      <c r="B186" s="101"/>
      <c r="C186" s="77"/>
      <c r="D186" s="49" t="str">
        <f t="shared" si="20"/>
        <v> </v>
      </c>
    </row>
    <row r="187" spans="1:4" ht="12.75">
      <c r="A187" s="101"/>
      <c r="B187" s="101"/>
      <c r="C187" s="77"/>
      <c r="D187" s="49" t="str">
        <f t="shared" si="20"/>
        <v> </v>
      </c>
    </row>
    <row r="188" spans="1:4" ht="12.75">
      <c r="A188" s="101"/>
      <c r="B188" s="101"/>
      <c r="C188" s="77"/>
      <c r="D188" s="49" t="str">
        <f t="shared" si="20"/>
        <v> </v>
      </c>
    </row>
    <row r="189" spans="1:4" ht="12.75">
      <c r="A189" s="101"/>
      <c r="B189" s="101"/>
      <c r="C189" s="77"/>
      <c r="D189" s="49" t="str">
        <f aca="true" t="shared" si="21" ref="D189:D203">IF(ROW(D189)-($J$10+2)&gt;0," ",(A189-($F$5+$F$6*B189))^2)</f>
        <v> </v>
      </c>
    </row>
    <row r="190" spans="1:4" ht="12.75">
      <c r="A190" s="101"/>
      <c r="B190" s="101"/>
      <c r="C190" s="77"/>
      <c r="D190" s="49" t="str">
        <f t="shared" si="21"/>
        <v> </v>
      </c>
    </row>
    <row r="191" spans="1:4" ht="12.75">
      <c r="A191" s="101"/>
      <c r="B191" s="101"/>
      <c r="C191" s="77"/>
      <c r="D191" s="49" t="str">
        <f t="shared" si="21"/>
        <v> </v>
      </c>
    </row>
    <row r="192" spans="1:4" ht="12.75">
      <c r="A192" s="101"/>
      <c r="B192" s="101"/>
      <c r="C192" s="77"/>
      <c r="D192" s="49" t="str">
        <f t="shared" si="21"/>
        <v> </v>
      </c>
    </row>
    <row r="193" spans="1:4" ht="12.75">
      <c r="A193" s="101"/>
      <c r="B193" s="101"/>
      <c r="C193" s="77"/>
      <c r="D193" s="49" t="str">
        <f t="shared" si="21"/>
        <v> </v>
      </c>
    </row>
    <row r="194" spans="1:4" ht="12.75">
      <c r="A194" s="101"/>
      <c r="B194" s="101"/>
      <c r="C194" s="77"/>
      <c r="D194" s="49" t="str">
        <f t="shared" si="21"/>
        <v> </v>
      </c>
    </row>
    <row r="195" spans="1:4" ht="12.75">
      <c r="A195" s="101"/>
      <c r="B195" s="101"/>
      <c r="C195" s="77"/>
      <c r="D195" s="49" t="str">
        <f t="shared" si="21"/>
        <v> </v>
      </c>
    </row>
    <row r="196" spans="1:4" ht="12.75">
      <c r="A196" s="101"/>
      <c r="B196" s="101"/>
      <c r="C196" s="77"/>
      <c r="D196" s="49" t="str">
        <f t="shared" si="21"/>
        <v> </v>
      </c>
    </row>
    <row r="197" spans="1:4" ht="12.75">
      <c r="A197" s="101"/>
      <c r="B197" s="101"/>
      <c r="C197" s="77"/>
      <c r="D197" s="49" t="str">
        <f t="shared" si="21"/>
        <v> </v>
      </c>
    </row>
    <row r="198" spans="1:4" ht="12.75">
      <c r="A198" s="101"/>
      <c r="B198" s="101"/>
      <c r="C198" s="77"/>
      <c r="D198" s="49" t="str">
        <f t="shared" si="21"/>
        <v> </v>
      </c>
    </row>
    <row r="199" spans="1:4" ht="12.75">
      <c r="A199" s="101"/>
      <c r="B199" s="101"/>
      <c r="C199" s="77"/>
      <c r="D199" s="49" t="str">
        <f t="shared" si="21"/>
        <v> </v>
      </c>
    </row>
    <row r="200" spans="1:4" ht="12.75">
      <c r="A200" s="101"/>
      <c r="B200" s="101"/>
      <c r="C200" s="77"/>
      <c r="D200" s="49" t="str">
        <f t="shared" si="21"/>
        <v> </v>
      </c>
    </row>
    <row r="201" spans="1:4" ht="12.75">
      <c r="A201" s="101"/>
      <c r="B201" s="101"/>
      <c r="C201" s="77"/>
      <c r="D201" s="49" t="str">
        <f t="shared" si="21"/>
        <v> </v>
      </c>
    </row>
    <row r="202" spans="1:4" ht="12.75">
      <c r="A202" s="101"/>
      <c r="B202" s="101"/>
      <c r="C202" s="77"/>
      <c r="D202" s="49" t="str">
        <f t="shared" si="21"/>
        <v> </v>
      </c>
    </row>
    <row r="203" spans="1:4" ht="12.75">
      <c r="A203" s="101"/>
      <c r="B203" s="101"/>
      <c r="C203" s="77"/>
      <c r="D203" s="49" t="str">
        <f t="shared" si="21"/>
        <v> </v>
      </c>
    </row>
    <row r="204" spans="1:2" ht="12.75">
      <c r="A204" s="102"/>
      <c r="B204" s="102"/>
    </row>
    <row r="205" spans="1:2" ht="12.75">
      <c r="A205" s="102"/>
      <c r="B205" s="102"/>
    </row>
    <row r="206" spans="1:2" ht="12.75">
      <c r="A206" s="102"/>
      <c r="B206" s="102"/>
    </row>
    <row r="207" spans="1:2" ht="12.75">
      <c r="A207" s="102"/>
      <c r="B207" s="102"/>
    </row>
    <row r="208" spans="1:2" ht="12.75">
      <c r="A208" s="102"/>
      <c r="B208" s="102"/>
    </row>
    <row r="209" spans="1:2" ht="12.75">
      <c r="A209" s="102"/>
      <c r="B209" s="102"/>
    </row>
    <row r="210" spans="1:2" ht="12.75">
      <c r="A210" s="102"/>
      <c r="B210" s="102"/>
    </row>
    <row r="211" spans="1:2" ht="12.75">
      <c r="A211" s="102"/>
      <c r="B211" s="102"/>
    </row>
    <row r="212" spans="1:2" ht="12.75">
      <c r="A212" s="102"/>
      <c r="B212" s="102"/>
    </row>
    <row r="213" spans="1:2" ht="12.75">
      <c r="A213" s="102"/>
      <c r="B213" s="102"/>
    </row>
    <row r="214" spans="1:2" ht="12.75">
      <c r="A214" s="102"/>
      <c r="B214" s="102"/>
    </row>
    <row r="215" spans="1:2" ht="12.75">
      <c r="A215" s="102"/>
      <c r="B215" s="102"/>
    </row>
    <row r="216" spans="1:2" ht="12.75">
      <c r="A216" s="102"/>
      <c r="B216" s="102"/>
    </row>
    <row r="217" spans="1:2" ht="12.75">
      <c r="A217" s="102"/>
      <c r="B217" s="102"/>
    </row>
    <row r="218" spans="1:2" ht="12.75">
      <c r="A218" s="102"/>
      <c r="B218" s="102"/>
    </row>
    <row r="219" spans="1:2" ht="12.75">
      <c r="A219" s="102"/>
      <c r="B219" s="102"/>
    </row>
    <row r="220" spans="1:2" ht="12.75">
      <c r="A220" s="102"/>
      <c r="B220" s="102"/>
    </row>
    <row r="221" spans="1:2" ht="12.75">
      <c r="A221" s="102"/>
      <c r="B221" s="102"/>
    </row>
    <row r="222" spans="1:2" ht="12.75">
      <c r="A222" s="102"/>
      <c r="B222" s="102"/>
    </row>
    <row r="223" spans="1:2" ht="12.75">
      <c r="A223" s="102"/>
      <c r="B223" s="102"/>
    </row>
    <row r="224" spans="1:2" ht="12.75">
      <c r="A224" s="102"/>
      <c r="B224" s="102"/>
    </row>
    <row r="225" spans="1:2" ht="12.75">
      <c r="A225" s="102"/>
      <c r="B225" s="102"/>
    </row>
    <row r="226" spans="1:2" ht="12.75">
      <c r="A226" s="102"/>
      <c r="B226" s="102"/>
    </row>
    <row r="227" spans="1:2" ht="12.75">
      <c r="A227" s="102"/>
      <c r="B227" s="102"/>
    </row>
    <row r="228" spans="1:2" ht="12.75">
      <c r="A228" s="102"/>
      <c r="B228" s="102"/>
    </row>
    <row r="229" spans="1:2" ht="12.75">
      <c r="A229" s="102"/>
      <c r="B229" s="102"/>
    </row>
    <row r="230" spans="1:2" ht="12.75">
      <c r="A230" s="102"/>
      <c r="B230" s="102"/>
    </row>
    <row r="231" spans="1:2" ht="12.75">
      <c r="A231" s="102"/>
      <c r="B231" s="102"/>
    </row>
    <row r="232" spans="1:2" ht="12.75">
      <c r="A232" s="102"/>
      <c r="B232" s="102"/>
    </row>
    <row r="233" spans="1:2" ht="12.75">
      <c r="A233" s="102"/>
      <c r="B233" s="102"/>
    </row>
    <row r="234" spans="1:2" ht="12.75">
      <c r="A234" s="102"/>
      <c r="B234" s="102"/>
    </row>
    <row r="235" spans="1:2" ht="12.75">
      <c r="A235" s="102"/>
      <c r="B235" s="102"/>
    </row>
    <row r="236" spans="1:2" ht="12.75">
      <c r="A236" s="102"/>
      <c r="B236" s="102"/>
    </row>
    <row r="237" spans="1:2" ht="12.75">
      <c r="A237" s="102"/>
      <c r="B237" s="102"/>
    </row>
    <row r="238" spans="1:2" ht="12.75">
      <c r="A238" s="102"/>
      <c r="B238" s="102"/>
    </row>
  </sheetData>
  <sheetProtection sheet="1" objects="1" scenarios="1"/>
  <mergeCells count="4">
    <mergeCell ref="A2:A3"/>
    <mergeCell ref="B2:B3"/>
    <mergeCell ref="D2:E4"/>
    <mergeCell ref="H23:J2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tabColor indexed="11"/>
  </sheetPr>
  <dimension ref="B2:X29"/>
  <sheetViews>
    <sheetView showGridLines="0" showRowColHeaders="0" zoomScale="120" zoomScaleNormal="120" zoomScalePageLayoutView="0" workbookViewId="0" topLeftCell="A1">
      <selection activeCell="H3" sqref="H3"/>
    </sheetView>
  </sheetViews>
  <sheetFormatPr defaultColWidth="9.140625" defaultRowHeight="12.75"/>
  <cols>
    <col min="1" max="1" width="3.7109375" style="0" customWidth="1"/>
    <col min="2" max="2" width="10.7109375" style="0" customWidth="1"/>
    <col min="5" max="5" width="3.7109375" style="0" customWidth="1"/>
    <col min="8" max="8" width="8.7109375" style="0" customWidth="1"/>
    <col min="12" max="12" width="9.7109375" style="0" customWidth="1"/>
    <col min="15" max="15" width="9.140625" style="49" customWidth="1"/>
    <col min="16" max="16" width="9.140625" style="58" customWidth="1"/>
    <col min="17" max="26" width="9.140625" style="49" customWidth="1"/>
    <col min="27" max="27" width="9.140625" style="5" customWidth="1"/>
  </cols>
  <sheetData>
    <row r="2" spans="2:4" ht="12.75" customHeight="1">
      <c r="B2" s="211" t="s">
        <v>73</v>
      </c>
      <c r="C2" s="212"/>
      <c r="D2" s="212"/>
    </row>
    <row r="3" spans="2:22" ht="12.75">
      <c r="B3" s="212"/>
      <c r="C3" s="212"/>
      <c r="D3" s="212"/>
      <c r="Q3" s="58" t="s">
        <v>54</v>
      </c>
      <c r="R3" s="49" t="s">
        <v>55</v>
      </c>
      <c r="S3" s="49" t="s">
        <v>56</v>
      </c>
      <c r="T3" s="49" t="s">
        <v>57</v>
      </c>
      <c r="U3" s="49" t="s">
        <v>58</v>
      </c>
      <c r="V3" s="49" t="s">
        <v>59</v>
      </c>
    </row>
    <row r="4" spans="2:24" ht="12.75" customHeight="1">
      <c r="B4" s="212"/>
      <c r="C4" s="212"/>
      <c r="D4" s="212"/>
      <c r="F4" s="204" t="s">
        <v>74</v>
      </c>
      <c r="G4" s="204"/>
      <c r="H4" s="204"/>
      <c r="I4" s="204"/>
      <c r="J4" s="204"/>
      <c r="K4" s="204"/>
      <c r="L4" s="204"/>
      <c r="M4" s="204"/>
      <c r="P4" s="58" t="s">
        <v>60</v>
      </c>
      <c r="Q4" s="49">
        <f>STDEV(R4:R43)</f>
        <v>3.1959954240323105</v>
      </c>
      <c r="R4" s="49">
        <v>13.526521733900639</v>
      </c>
      <c r="S4" s="49">
        <v>12.62512142287297</v>
      </c>
      <c r="T4" s="49">
        <f aca="true" t="shared" si="0" ref="T4:T23">(S4-Q$7)*SQRT((1-D$19^2))+U4</f>
        <v>13.943032902069719</v>
      </c>
      <c r="U4" s="49">
        <f aca="true" t="shared" si="1" ref="U4:U23">W$5+X$5*R4</f>
        <v>12.08785215395493</v>
      </c>
      <c r="V4" s="49">
        <f aca="true" t="shared" si="2" ref="V4:V23">T4-U4</f>
        <v>1.8551807481147886</v>
      </c>
      <c r="W4" s="49" t="s">
        <v>61</v>
      </c>
      <c r="X4" s="49" t="s">
        <v>62</v>
      </c>
    </row>
    <row r="5" spans="2:24" ht="12.75">
      <c r="B5" s="212"/>
      <c r="C5" s="212"/>
      <c r="D5" s="212"/>
      <c r="F5" s="204"/>
      <c r="G5" s="204"/>
      <c r="H5" s="204"/>
      <c r="I5" s="204"/>
      <c r="J5" s="204"/>
      <c r="K5" s="204"/>
      <c r="L5" s="204"/>
      <c r="M5" s="204"/>
      <c r="P5" s="58" t="s">
        <v>63</v>
      </c>
      <c r="Q5" s="49">
        <f>STDEV(S4:S43)</f>
        <v>2.597953143665424</v>
      </c>
      <c r="R5" s="49">
        <v>7.297361486213117</v>
      </c>
      <c r="S5" s="49">
        <v>10.233958194213038</v>
      </c>
      <c r="T5" s="49">
        <f t="shared" si="0"/>
        <v>9.1263866800913</v>
      </c>
      <c r="U5" s="49">
        <f t="shared" si="1"/>
        <v>9.2522669892627</v>
      </c>
      <c r="V5" s="49">
        <f t="shared" si="2"/>
        <v>-0.12588030917140003</v>
      </c>
      <c r="W5" s="49">
        <f>Q7-X5*Q6</f>
        <v>5.930424373416681</v>
      </c>
      <c r="X5" s="49">
        <f>D19*Q5/Q4</f>
        <v>0.45521146542102475</v>
      </c>
    </row>
    <row r="6" spans="2:24" ht="20.25" customHeight="1">
      <c r="B6" s="212"/>
      <c r="C6" s="212"/>
      <c r="D6" s="212"/>
      <c r="F6" s="204"/>
      <c r="G6" s="204"/>
      <c r="H6" s="204"/>
      <c r="I6" s="204"/>
      <c r="J6" s="204"/>
      <c r="K6" s="204"/>
      <c r="L6" s="204"/>
      <c r="M6" s="204"/>
      <c r="N6" s="61"/>
      <c r="P6" s="62" t="s">
        <v>64</v>
      </c>
      <c r="Q6" s="49">
        <f>AVERAGE(R4:R43)</f>
        <v>9.787698957897236</v>
      </c>
      <c r="R6" s="49">
        <v>6.411288414989673</v>
      </c>
      <c r="S6" s="49">
        <v>11.375061262074858</v>
      </c>
      <c r="T6" s="49">
        <f t="shared" si="0"/>
        <v>9.668431514518886</v>
      </c>
      <c r="U6" s="49">
        <f t="shared" si="1"/>
        <v>8.84891636804097</v>
      </c>
      <c r="V6" s="49">
        <f t="shared" si="2"/>
        <v>0.8195151464779169</v>
      </c>
      <c r="W6" s="49">
        <v>0</v>
      </c>
      <c r="X6" s="49">
        <v>20</v>
      </c>
    </row>
    <row r="7" spans="2:22" ht="20.25" customHeight="1">
      <c r="B7" s="212"/>
      <c r="C7" s="212"/>
      <c r="D7" s="212"/>
      <c r="E7" s="63"/>
      <c r="J7" s="61"/>
      <c r="K7" s="61"/>
      <c r="L7" s="61"/>
      <c r="M7" s="61"/>
      <c r="N7" s="61"/>
      <c r="P7" s="62" t="s">
        <v>65</v>
      </c>
      <c r="Q7" s="49">
        <f>AVERAGE(S4:S43)</f>
        <v>10.385897159140919</v>
      </c>
      <c r="R7" s="49">
        <v>5.016428824832635</v>
      </c>
      <c r="S7" s="49">
        <v>14.8838</v>
      </c>
      <c r="T7" s="49">
        <f t="shared" si="0"/>
        <v>11.940439541002311</v>
      </c>
      <c r="U7" s="49">
        <f t="shared" si="1"/>
        <v>8.213960289949014</v>
      </c>
      <c r="V7" s="49">
        <f t="shared" si="2"/>
        <v>3.7264792510532967</v>
      </c>
    </row>
    <row r="8" spans="2:24" ht="12.75">
      <c r="B8" s="212"/>
      <c r="C8" s="212"/>
      <c r="D8" s="212"/>
      <c r="J8" s="64"/>
      <c r="K8" s="64"/>
      <c r="L8" s="64"/>
      <c r="M8" s="64"/>
      <c r="N8" s="64"/>
      <c r="P8" s="62"/>
      <c r="R8" s="49">
        <v>7.135157332931855</v>
      </c>
      <c r="S8" s="49">
        <v>10.344875429801498</v>
      </c>
      <c r="T8" s="49">
        <f t="shared" si="0"/>
        <v>9.144443599462473</v>
      </c>
      <c r="U8" s="49">
        <f t="shared" si="1"/>
        <v>9.178429798950162</v>
      </c>
      <c r="V8" s="49">
        <f t="shared" si="2"/>
        <v>-0.033986199487689106</v>
      </c>
      <c r="W8" s="49">
        <f>W5+X5*W6</f>
        <v>5.930424373416681</v>
      </c>
      <c r="X8" s="49">
        <f>W5+X5*X6</f>
        <v>15.034653681837176</v>
      </c>
    </row>
    <row r="9" spans="2:22" ht="12.75">
      <c r="B9" s="212"/>
      <c r="C9" s="212"/>
      <c r="D9" s="212"/>
      <c r="E9" s="65"/>
      <c r="F9" s="66"/>
      <c r="R9" s="49">
        <v>6.47494088017675</v>
      </c>
      <c r="S9" s="49">
        <v>7.868378150370148</v>
      </c>
      <c r="T9" s="49">
        <f t="shared" si="0"/>
        <v>6.7921458130255425</v>
      </c>
      <c r="U9" s="49">
        <f t="shared" si="1"/>
        <v>8.87789169999644</v>
      </c>
      <c r="V9" s="49">
        <f t="shared" si="2"/>
        <v>-2.085745886970897</v>
      </c>
    </row>
    <row r="10" spans="2:22" ht="12.75">
      <c r="B10" s="213"/>
      <c r="C10" s="213"/>
      <c r="D10" s="213"/>
      <c r="K10" s="67"/>
      <c r="L10" s="67"/>
      <c r="M10" s="67"/>
      <c r="R10" s="49">
        <v>9.759404955932474</v>
      </c>
      <c r="S10" s="49">
        <v>12.51283250808758</v>
      </c>
      <c r="T10" s="49">
        <f t="shared" si="0"/>
        <v>12.135167617401038</v>
      </c>
      <c r="U10" s="49">
        <f t="shared" si="1"/>
        <v>10.373017405043914</v>
      </c>
      <c r="V10" s="49">
        <f t="shared" si="2"/>
        <v>1.762150212357124</v>
      </c>
    </row>
    <row r="11" spans="2:22" ht="12.75" customHeight="1">
      <c r="B11" s="213"/>
      <c r="C11" s="213"/>
      <c r="D11" s="213"/>
      <c r="E11" s="68"/>
      <c r="F11" s="68"/>
      <c r="G11" s="69"/>
      <c r="H11" s="70"/>
      <c r="K11" s="67"/>
      <c r="L11" s="67"/>
      <c r="M11" s="67"/>
      <c r="R11" s="49">
        <v>9.607093913942453</v>
      </c>
      <c r="S11" s="49">
        <v>5.960026391202671</v>
      </c>
      <c r="T11" s="49">
        <f t="shared" si="0"/>
        <v>6.636882461254693</v>
      </c>
      <c r="U11" s="49">
        <f t="shared" si="1"/>
        <v>10.303683672419833</v>
      </c>
      <c r="V11" s="49">
        <f t="shared" si="2"/>
        <v>-3.66680121116514</v>
      </c>
    </row>
    <row r="12" spans="2:22" ht="12.75">
      <c r="B12" s="213"/>
      <c r="C12" s="213"/>
      <c r="D12" s="213"/>
      <c r="E12" s="1"/>
      <c r="F12" s="1"/>
      <c r="G12" s="1"/>
      <c r="R12" s="49">
        <v>13.110647458187533</v>
      </c>
      <c r="S12" s="49">
        <v>6.45078</v>
      </c>
      <c r="T12" s="49">
        <f t="shared" si="0"/>
        <v>8.638325941102021</v>
      </c>
      <c r="U12" s="49">
        <f t="shared" si="1"/>
        <v>11.89854141547666</v>
      </c>
      <c r="V12" s="49">
        <f t="shared" si="2"/>
        <v>-3.2602154743746397</v>
      </c>
    </row>
    <row r="13" spans="6:22" ht="12.75">
      <c r="F13" s="72"/>
      <c r="G13" s="69"/>
      <c r="I13" s="73">
        <v>3</v>
      </c>
      <c r="R13" s="49">
        <v>11.101108311212874</v>
      </c>
      <c r="S13" s="49">
        <v>6.635785168057507</v>
      </c>
      <c r="T13" s="49">
        <f t="shared" si="0"/>
        <v>7.876836095195548</v>
      </c>
      <c r="U13" s="49">
        <f t="shared" si="1"/>
        <v>10.983776155561412</v>
      </c>
      <c r="V13" s="49">
        <f t="shared" si="2"/>
        <v>-3.1069400603658632</v>
      </c>
    </row>
    <row r="14" spans="3:22" ht="12.75">
      <c r="C14" s="71" t="s">
        <v>66</v>
      </c>
      <c r="D14" s="60">
        <f>AVERAGE(T4:T43)</f>
        <v>10.385897159140917</v>
      </c>
      <c r="F14" s="1"/>
      <c r="G14" s="1"/>
      <c r="I14" s="73">
        <v>29</v>
      </c>
      <c r="R14" s="49">
        <v>9.64414455411119</v>
      </c>
      <c r="S14" s="49">
        <v>9.243592496079813</v>
      </c>
      <c r="T14" s="49">
        <f t="shared" si="0"/>
        <v>9.374158580237191</v>
      </c>
      <c r="U14" s="49">
        <f t="shared" si="1"/>
        <v>10.32054954862583</v>
      </c>
      <c r="V14" s="49">
        <f t="shared" si="2"/>
        <v>-0.9463909683886396</v>
      </c>
    </row>
    <row r="15" spans="3:22" ht="12.75">
      <c r="C15" s="71" t="s">
        <v>67</v>
      </c>
      <c r="D15" s="60">
        <f>STDEV(T4:T43)</f>
        <v>2.597544308044667</v>
      </c>
      <c r="F15" s="74"/>
      <c r="G15" s="1"/>
      <c r="I15" s="73">
        <v>25</v>
      </c>
      <c r="R15" s="49">
        <v>11.381497799298625</v>
      </c>
      <c r="S15" s="49">
        <v>8.007015093650372</v>
      </c>
      <c r="T15" s="49">
        <f t="shared" si="0"/>
        <v>9.140526460927669</v>
      </c>
      <c r="U15" s="49">
        <f t="shared" si="1"/>
        <v>11.111412665321577</v>
      </c>
      <c r="V15" s="49">
        <f t="shared" si="2"/>
        <v>-1.9708862043939082</v>
      </c>
    </row>
    <row r="16" spans="3:22" ht="12.75">
      <c r="C16" s="71" t="s">
        <v>68</v>
      </c>
      <c r="D16" s="60">
        <f>STDEV(V4:V43)</f>
        <v>2.1523849730886617</v>
      </c>
      <c r="F16" s="74"/>
      <c r="G16" s="70"/>
      <c r="R16" s="49">
        <v>14.639293756219288</v>
      </c>
      <c r="S16" s="49">
        <v>9.923015609613442</v>
      </c>
      <c r="T16" s="49">
        <f t="shared" si="0"/>
        <v>12.21090479517302</v>
      </c>
      <c r="U16" s="49">
        <f t="shared" si="1"/>
        <v>12.59439873691412</v>
      </c>
      <c r="V16" s="49">
        <f t="shared" si="2"/>
        <v>-0.38349394174110074</v>
      </c>
    </row>
    <row r="17" spans="6:22" ht="12.75">
      <c r="F17" s="75"/>
      <c r="G17" s="75"/>
      <c r="R17" s="49">
        <v>12.63283981070418</v>
      </c>
      <c r="S17" s="49">
        <v>12.803399250664418</v>
      </c>
      <c r="T17" s="49">
        <f t="shared" si="0"/>
        <v>13.68392050652416</v>
      </c>
      <c r="U17" s="49">
        <f t="shared" si="1"/>
        <v>11.681037896076392</v>
      </c>
      <c r="V17" s="49">
        <f t="shared" si="2"/>
        <v>2.0028826104477684</v>
      </c>
    </row>
    <row r="18" spans="6:22" ht="12.75" customHeight="1">
      <c r="F18" s="75"/>
      <c r="G18" s="75"/>
      <c r="R18" s="49">
        <v>6.2897675853323145</v>
      </c>
      <c r="S18" s="49">
        <v>11.915635503225193</v>
      </c>
      <c r="T18" s="49">
        <f t="shared" si="0"/>
        <v>10.060975601946813</v>
      </c>
      <c r="U18" s="49">
        <f t="shared" si="1"/>
        <v>8.793598693093465</v>
      </c>
      <c r="V18" s="49">
        <f t="shared" si="2"/>
        <v>1.2673769088533486</v>
      </c>
    </row>
    <row r="19" spans="3:22" ht="12.75">
      <c r="C19" s="71" t="s">
        <v>69</v>
      </c>
      <c r="D19" s="76">
        <f>-(E19-50)/50</f>
        <v>0.56</v>
      </c>
      <c r="E19" s="77">
        <v>22</v>
      </c>
      <c r="F19" s="75"/>
      <c r="G19" s="75"/>
      <c r="R19" s="49">
        <v>7.579833959319872</v>
      </c>
      <c r="S19" s="49">
        <v>8.717488552290623</v>
      </c>
      <c r="T19" s="49">
        <f t="shared" si="0"/>
        <v>7.9985875013087355</v>
      </c>
      <c r="U19" s="49">
        <f t="shared" si="1"/>
        <v>9.380851697686728</v>
      </c>
      <c r="V19" s="49">
        <f t="shared" si="2"/>
        <v>-1.3822641963779922</v>
      </c>
    </row>
    <row r="20" spans="3:22" ht="12.75">
      <c r="C20" s="63"/>
      <c r="D20" s="63"/>
      <c r="E20" s="53"/>
      <c r="F20" s="78"/>
      <c r="G20" s="78"/>
      <c r="R20" s="49">
        <v>12.242332333915058</v>
      </c>
      <c r="S20" s="49">
        <v>10.658046441900078</v>
      </c>
      <c r="T20" s="49">
        <f t="shared" si="0"/>
        <v>11.728748084099701</v>
      </c>
      <c r="U20" s="49">
        <f t="shared" si="1"/>
        <v>11.503274415309349</v>
      </c>
      <c r="V20" s="49">
        <f t="shared" si="2"/>
        <v>0.22547366879035202</v>
      </c>
    </row>
    <row r="21" spans="3:22" ht="12.75">
      <c r="C21" s="1"/>
      <c r="D21" s="75"/>
      <c r="E21" s="75"/>
      <c r="F21" s="1"/>
      <c r="G21" s="1"/>
      <c r="R21" s="49">
        <v>14.854134967028745</v>
      </c>
      <c r="S21" s="49">
        <v>13.296518467707692</v>
      </c>
      <c r="T21" s="49">
        <f t="shared" si="0"/>
        <v>15.103625155500822</v>
      </c>
      <c r="U21" s="49">
        <f t="shared" si="1"/>
        <v>12.692196919319521</v>
      </c>
      <c r="V21" s="49">
        <f t="shared" si="2"/>
        <v>2.411428236181301</v>
      </c>
    </row>
    <row r="22" spans="3:22" ht="14.25">
      <c r="C22" s="65" t="s">
        <v>72</v>
      </c>
      <c r="D22" s="79">
        <f>D19^2</f>
        <v>0.31360000000000005</v>
      </c>
      <c r="E22" s="208"/>
      <c r="F22" s="208"/>
      <c r="G22" s="1"/>
      <c r="R22" s="49">
        <v>11.896341079695414</v>
      </c>
      <c r="S22" s="49">
        <v>14.276756908083968</v>
      </c>
      <c r="T22" s="49">
        <f t="shared" si="0"/>
        <v>14.569323766669996</v>
      </c>
      <c r="U22" s="49">
        <f t="shared" si="1"/>
        <v>11.345775229453167</v>
      </c>
      <c r="V22" s="49">
        <f t="shared" si="2"/>
        <v>3.2235485372168284</v>
      </c>
    </row>
    <row r="23" spans="3:22" ht="12.75">
      <c r="C23" s="1"/>
      <c r="D23" s="1"/>
      <c r="E23" s="208"/>
      <c r="F23" s="208"/>
      <c r="G23" s="70"/>
      <c r="P23" s="58">
        <f>CORREL(T4:T23,R4:R23)</f>
        <v>0.5598071031108629</v>
      </c>
      <c r="R23" s="49">
        <v>5.15384</v>
      </c>
      <c r="S23" s="49">
        <v>9.985856332922491</v>
      </c>
      <c r="T23" s="49">
        <f t="shared" si="0"/>
        <v>7.945080565306705</v>
      </c>
      <c r="U23" s="49">
        <f t="shared" si="1"/>
        <v>8.276511432362176</v>
      </c>
      <c r="V23" s="49">
        <f t="shared" si="2"/>
        <v>-0.3314308670554702</v>
      </c>
    </row>
    <row r="24" spans="3:7" ht="12.75">
      <c r="C24" s="1"/>
      <c r="D24" s="209"/>
      <c r="E24" s="209"/>
      <c r="F24" s="209"/>
      <c r="G24" s="209"/>
    </row>
    <row r="25" spans="3:7" ht="12.75">
      <c r="C25" s="1"/>
      <c r="D25" s="209"/>
      <c r="E25" s="209"/>
      <c r="F25" s="209"/>
      <c r="G25" s="209"/>
    </row>
    <row r="26" spans="3:7" ht="12.75">
      <c r="C26" s="1"/>
      <c r="D26" s="1"/>
      <c r="E26" s="1"/>
      <c r="F26" s="1"/>
      <c r="G26" s="1"/>
    </row>
    <row r="27" spans="3:7" ht="12.75">
      <c r="C27" s="210"/>
      <c r="D27" s="210"/>
      <c r="E27" s="210"/>
      <c r="F27" s="53"/>
      <c r="G27" s="53"/>
    </row>
    <row r="28" spans="3:7" ht="12.75">
      <c r="C28" s="207"/>
      <c r="D28" s="207"/>
      <c r="E28" s="207"/>
      <c r="F28" s="69"/>
      <c r="G28" s="69"/>
    </row>
    <row r="29" spans="3:11" ht="12.75">
      <c r="C29" s="207"/>
      <c r="D29" s="207"/>
      <c r="E29" s="207"/>
      <c r="F29" s="69"/>
      <c r="G29" s="69" t="s">
        <v>70</v>
      </c>
      <c r="H29" s="60">
        <f>Q6</f>
        <v>9.787698957897236</v>
      </c>
      <c r="J29" s="71" t="s">
        <v>71</v>
      </c>
      <c r="K29" s="60">
        <f>Q4</f>
        <v>3.1959954240323105</v>
      </c>
    </row>
  </sheetData>
  <sheetProtection sheet="1" objects="1" scenarios="1"/>
  <mergeCells count="7">
    <mergeCell ref="F4:M6"/>
    <mergeCell ref="C29:E29"/>
    <mergeCell ref="E22:F23"/>
    <mergeCell ref="D24:G25"/>
    <mergeCell ref="C28:E28"/>
    <mergeCell ref="C27:E27"/>
    <mergeCell ref="B2:D12"/>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2"/>
  <dimension ref="A1:Z202"/>
  <sheetViews>
    <sheetView showGridLines="0" showRowColHeaders="0" zoomScale="110" zoomScaleNormal="110" zoomScalePageLayoutView="0" workbookViewId="0" topLeftCell="A1">
      <selection activeCell="A1" sqref="A1"/>
    </sheetView>
  </sheetViews>
  <sheetFormatPr defaultColWidth="9.140625" defaultRowHeight="12.75"/>
  <cols>
    <col min="4" max="4" width="9.421875" style="0" bestFit="1" customWidth="1"/>
    <col min="8" max="8" width="9.421875" style="0" bestFit="1" customWidth="1"/>
    <col min="12" max="12" width="9.421875" style="0" bestFit="1" customWidth="1"/>
    <col min="14" max="14" width="9.421875" style="150" bestFit="1" customWidth="1"/>
    <col min="15" max="15" width="9.57421875" style="149" bestFit="1" customWidth="1"/>
    <col min="16" max="17" width="9.57421875" style="150" bestFit="1" customWidth="1"/>
    <col min="18" max="18" width="13.28125" style="150" bestFit="1" customWidth="1"/>
    <col min="19" max="19" width="12.57421875" style="150" bestFit="1" customWidth="1"/>
    <col min="20" max="20" width="9.28125" style="149" bestFit="1" customWidth="1"/>
    <col min="21" max="22" width="9.28125" style="150" bestFit="1" customWidth="1"/>
    <col min="23" max="23" width="12.7109375" style="150" bestFit="1" customWidth="1"/>
    <col min="24" max="24" width="12.8515625" style="150" bestFit="1" customWidth="1"/>
    <col min="25" max="26" width="9.140625" style="150" customWidth="1"/>
  </cols>
  <sheetData>
    <row r="1" spans="13:26" ht="12.75">
      <c r="M1" s="49" t="s">
        <v>29</v>
      </c>
      <c r="N1" s="5">
        <f>main!C24</f>
        <v>2</v>
      </c>
      <c r="O1" s="146" t="s">
        <v>33</v>
      </c>
      <c r="P1" s="5">
        <f>main!$C$12</f>
        <v>10</v>
      </c>
      <c r="Q1" s="147" t="s">
        <v>30</v>
      </c>
      <c r="R1" s="147" t="s">
        <v>31</v>
      </c>
      <c r="S1" s="147" t="s">
        <v>32</v>
      </c>
      <c r="T1" s="35"/>
      <c r="U1" s="36"/>
      <c r="V1" s="147" t="s">
        <v>30</v>
      </c>
      <c r="W1" s="147" t="s">
        <v>31</v>
      </c>
      <c r="X1" s="147" t="s">
        <v>32</v>
      </c>
      <c r="Y1" s="36"/>
      <c r="Z1" s="36"/>
    </row>
    <row r="2" spans="13:26" ht="12.75">
      <c r="M2" s="49" t="s">
        <v>35</v>
      </c>
      <c r="N2" s="36">
        <f>main!C27</f>
        <v>1.1</v>
      </c>
      <c r="O2" s="35" t="s">
        <v>28</v>
      </c>
      <c r="P2" s="36">
        <f>(1-main!C14)*main!C12</f>
        <v>5</v>
      </c>
      <c r="Q2" s="36" t="s">
        <v>34</v>
      </c>
      <c r="R2" s="36">
        <v>0</v>
      </c>
      <c r="S2" s="36">
        <f>(P2-P1)*P14</f>
        <v>-5.16334109001763</v>
      </c>
      <c r="T2" s="35" t="s">
        <v>28</v>
      </c>
      <c r="U2" s="36">
        <f>main!C12*(1+main!C14)</f>
        <v>15</v>
      </c>
      <c r="V2" s="36" t="s">
        <v>34</v>
      </c>
      <c r="W2" s="36">
        <v>0</v>
      </c>
      <c r="X2" s="36">
        <f>(U2-P1)*U14</f>
        <v>5.16334109001763</v>
      </c>
      <c r="Y2" s="36"/>
      <c r="Z2" s="36"/>
    </row>
    <row r="3" spans="2:26" ht="12.75">
      <c r="B3" s="214" t="s">
        <v>46</v>
      </c>
      <c r="C3" s="214"/>
      <c r="D3" s="214"/>
      <c r="E3" s="214"/>
      <c r="F3" s="214"/>
      <c r="G3" s="214"/>
      <c r="H3" s="214"/>
      <c r="I3" s="214"/>
      <c r="J3" s="214"/>
      <c r="K3" s="214"/>
      <c r="L3" s="214"/>
      <c r="M3" s="214"/>
      <c r="N3" s="36"/>
      <c r="O3" s="35" t="s">
        <v>9</v>
      </c>
      <c r="P3" s="36">
        <f>main!P3</f>
        <v>25</v>
      </c>
      <c r="Q3" s="36">
        <f>P11</f>
        <v>-12</v>
      </c>
      <c r="R3" s="36">
        <f>NORMDIST(Q3,0,$P$10,0)</f>
        <v>4.932835850727605E-09</v>
      </c>
      <c r="S3" s="36">
        <f>NORMDIST(Q3,$S$2,$P$10,0)</f>
        <v>0.0006710092009633673</v>
      </c>
      <c r="T3" s="35" t="s">
        <v>9</v>
      </c>
      <c r="U3" s="36">
        <f>P3</f>
        <v>25</v>
      </c>
      <c r="V3" s="36">
        <f>U11</f>
        <v>-10</v>
      </c>
      <c r="W3" s="36">
        <f>NORMDIST(V3,0,$U$10,0)</f>
        <v>0.0008204788854237667</v>
      </c>
      <c r="X3" s="36">
        <f>NORMDIST(V3,$X$2,$U$10,0)</f>
        <v>1.176416184158263E-06</v>
      </c>
      <c r="Y3" s="36"/>
      <c r="Z3" s="36"/>
    </row>
    <row r="4" spans="2:26" ht="12.75">
      <c r="B4" s="214"/>
      <c r="C4" s="214"/>
      <c r="D4" s="214"/>
      <c r="E4" s="214"/>
      <c r="F4" s="214"/>
      <c r="G4" s="214"/>
      <c r="H4" s="214"/>
      <c r="I4" s="214"/>
      <c r="J4" s="214"/>
      <c r="K4" s="214"/>
      <c r="L4" s="214"/>
      <c r="M4" s="214"/>
      <c r="N4" s="36"/>
      <c r="O4" s="35" t="s">
        <v>10</v>
      </c>
      <c r="P4" s="36">
        <f>main!P4</f>
        <v>25</v>
      </c>
      <c r="Q4" s="36">
        <f aca="true" t="shared" si="0" ref="Q4:Q67">Q3+$P$13</f>
        <v>-11.904522613065327</v>
      </c>
      <c r="R4" s="36">
        <f aca="true" t="shared" si="1" ref="R4:R67">NORMDIST(Q4,0,$P$10,0)</f>
        <v>6.509750839263767E-09</v>
      </c>
      <c r="S4" s="36">
        <f aca="true" t="shared" si="2" ref="S4:S67">NORMDIST(Q4,$S$2,$P$10,0)</f>
        <v>0.0007855150153367765</v>
      </c>
      <c r="T4" s="35" t="s">
        <v>10</v>
      </c>
      <c r="U4" s="36">
        <f>P4</f>
        <v>25</v>
      </c>
      <c r="V4" s="36">
        <f>V3+$U$13</f>
        <v>-9.874371859296483</v>
      </c>
      <c r="W4" s="36">
        <f aca="true" t="shared" si="3" ref="W4:W67">NORMDIST(V4,0,$U$10,0)</f>
        <v>0.0009304874558332428</v>
      </c>
      <c r="X4" s="36">
        <f aca="true" t="shared" si="4" ref="X4:X67">NORMDIST(V4,$X$2,$U$10,0)</f>
        <v>1.4242838564950327E-06</v>
      </c>
      <c r="Y4" s="36"/>
      <c r="Z4" s="36"/>
    </row>
    <row r="5" spans="2:26" ht="12.75">
      <c r="B5" s="50"/>
      <c r="C5" s="50"/>
      <c r="D5" s="50"/>
      <c r="E5" s="50"/>
      <c r="F5" s="50"/>
      <c r="G5" s="50"/>
      <c r="H5" s="50"/>
      <c r="I5" s="50"/>
      <c r="J5" s="50"/>
      <c r="K5" s="50"/>
      <c r="L5" s="50"/>
      <c r="M5" s="50"/>
      <c r="N5" s="36"/>
      <c r="O5" s="35" t="s">
        <v>11</v>
      </c>
      <c r="P5" s="36">
        <f>main!P5</f>
        <v>121</v>
      </c>
      <c r="Q5" s="36">
        <f t="shared" si="0"/>
        <v>-11.809045226130653</v>
      </c>
      <c r="R5" s="36">
        <f t="shared" si="1"/>
        <v>8.571754918770525E-09</v>
      </c>
      <c r="S5" s="36">
        <f t="shared" si="2"/>
        <v>0.0009175255853365813</v>
      </c>
      <c r="T5" s="35" t="s">
        <v>11</v>
      </c>
      <c r="U5" s="36">
        <f>P5</f>
        <v>121</v>
      </c>
      <c r="V5" s="36">
        <f aca="true" t="shared" si="5" ref="V5:V68">V4+$U$13</f>
        <v>-9.748743718592966</v>
      </c>
      <c r="W5" s="36">
        <f t="shared" si="3"/>
        <v>0.0010535686167743698</v>
      </c>
      <c r="X5" s="36">
        <f t="shared" si="4"/>
        <v>1.721635870098439E-06</v>
      </c>
      <c r="Y5" s="36"/>
      <c r="Z5" s="36"/>
    </row>
    <row r="6" spans="3:26" ht="13.5" thickBot="1">
      <c r="C6" s="216" t="s">
        <v>43</v>
      </c>
      <c r="D6" s="216"/>
      <c r="E6" s="53"/>
      <c r="G6" s="216" t="s">
        <v>41</v>
      </c>
      <c r="H6" s="216"/>
      <c r="J6" s="1"/>
      <c r="K6" s="216" t="s">
        <v>42</v>
      </c>
      <c r="L6" s="216"/>
      <c r="N6" s="36"/>
      <c r="O6" s="35" t="s">
        <v>12</v>
      </c>
      <c r="P6" s="36">
        <f>IF(N1=0,N2^2,IF(N1=1,main!C28^2,IF(N1=2,(P2*N2)^2,P2*N2)))</f>
        <v>30.25</v>
      </c>
      <c r="Q6" s="36">
        <f t="shared" si="0"/>
        <v>-11.71356783919598</v>
      </c>
      <c r="R6" s="36">
        <f t="shared" si="1"/>
        <v>1.1261929411844911E-08</v>
      </c>
      <c r="S6" s="36">
        <f t="shared" si="2"/>
        <v>0.0010693492085659167</v>
      </c>
      <c r="T6" s="35" t="s">
        <v>12</v>
      </c>
      <c r="U6" s="36">
        <f>IF(N1=0,N2^2,IF(N1=1,main!C28^2,IF(N1=2,(U2*N2)^2,U2*N2)))</f>
        <v>272.25</v>
      </c>
      <c r="V6" s="36">
        <f t="shared" si="5"/>
        <v>-9.623115577889449</v>
      </c>
      <c r="W6" s="36">
        <f t="shared" si="3"/>
        <v>0.0011910344351213492</v>
      </c>
      <c r="X6" s="36">
        <f t="shared" si="4"/>
        <v>2.07775933772854E-06</v>
      </c>
      <c r="Y6" s="36"/>
      <c r="Z6" s="36"/>
    </row>
    <row r="7" spans="3:26" ht="12.75">
      <c r="C7" s="52" t="s">
        <v>51</v>
      </c>
      <c r="D7" s="51">
        <f>P2-P1</f>
        <v>-5</v>
      </c>
      <c r="E7" s="53"/>
      <c r="G7" s="52" t="s">
        <v>50</v>
      </c>
      <c r="H7" s="51">
        <v>0</v>
      </c>
      <c r="K7" s="52" t="s">
        <v>51</v>
      </c>
      <c r="L7" s="51">
        <f>U2-P1</f>
        <v>5</v>
      </c>
      <c r="N7" s="36"/>
      <c r="O7" s="35" t="s">
        <v>27</v>
      </c>
      <c r="P7" s="36">
        <f>(P5/P3+P6/P4)^2/((P5/P3)^2/(P3-1)+(P6/P4)^2/(P4-1))</f>
        <v>35.29411764705882</v>
      </c>
      <c r="Q7" s="36">
        <f t="shared" si="0"/>
        <v>-11.618090452261306</v>
      </c>
      <c r="R7" s="36">
        <f t="shared" si="1"/>
        <v>1.4763642935108294E-08</v>
      </c>
      <c r="S7" s="36">
        <f t="shared" si="2"/>
        <v>0.0012435366737022814</v>
      </c>
      <c r="T7" s="35" t="s">
        <v>27</v>
      </c>
      <c r="U7" s="36">
        <f>(U5/U3+U6/U4)^2/((U5/U3)^2/(U3-1)+(U6/U4)^2/(U4-1))</f>
        <v>41.81443298969072</v>
      </c>
      <c r="V7" s="36">
        <f t="shared" si="5"/>
        <v>-9.497487437185931</v>
      </c>
      <c r="W7" s="36">
        <f t="shared" si="3"/>
        <v>0.001344296289207813</v>
      </c>
      <c r="X7" s="36">
        <f t="shared" si="4"/>
        <v>2.5035621232782486E-06</v>
      </c>
      <c r="Y7" s="36"/>
      <c r="Z7" s="36"/>
    </row>
    <row r="8" spans="3:26" ht="12.75">
      <c r="C8" s="52" t="s">
        <v>44</v>
      </c>
      <c r="D8" s="54">
        <f>P10</f>
        <v>2.0282997806044354</v>
      </c>
      <c r="E8" s="1"/>
      <c r="G8" s="56"/>
      <c r="H8" s="57"/>
      <c r="K8" s="52" t="s">
        <v>44</v>
      </c>
      <c r="L8" s="54">
        <f>U10</f>
        <v>3.149920633920798</v>
      </c>
      <c r="N8" s="36"/>
      <c r="O8" s="35" t="s">
        <v>13</v>
      </c>
      <c r="P8" s="36">
        <f>CHOOSE(main!$J$18,P3-1,P7,P7,(1/P24+1/P25)^2/(1/(P24^2*(P3-1))+1/(P25^2*(P7))))</f>
        <v>24</v>
      </c>
      <c r="Q8" s="36">
        <f t="shared" si="0"/>
        <v>-11.522613065326633</v>
      </c>
      <c r="R8" s="36">
        <f t="shared" si="1"/>
        <v>1.9311319168974645E-08</v>
      </c>
      <c r="S8" s="36">
        <f t="shared" si="2"/>
        <v>0.0014428969644041754</v>
      </c>
      <c r="T8" s="35" t="s">
        <v>13</v>
      </c>
      <c r="U8" s="36">
        <f>CHOOSE(main!$J$18,U3-1,U7,U7,(1/U24+1/U25)^2/(1/(U24^2*(U3-1))+1/(U25^2*(U7))))</f>
        <v>24</v>
      </c>
      <c r="V8" s="36">
        <f t="shared" si="5"/>
        <v>-9.371859296482414</v>
      </c>
      <c r="W8" s="36">
        <f t="shared" si="3"/>
        <v>0.0015148682771248378</v>
      </c>
      <c r="X8" s="36">
        <f t="shared" si="4"/>
        <v>3.0118316415113187E-06</v>
      </c>
      <c r="Y8" s="36"/>
      <c r="Z8" s="36"/>
    </row>
    <row r="9" spans="3:26" ht="12.75">
      <c r="C9" s="56"/>
      <c r="D9" s="57"/>
      <c r="K9" s="56"/>
      <c r="L9" s="57"/>
      <c r="N9" s="36"/>
      <c r="O9" s="35" t="s">
        <v>15</v>
      </c>
      <c r="P9" s="36">
        <f>SQRT((1+O22)*P5/P3+O21*P5/P4-IF(main!J18=4,P26,1)*2*main!P8*P5/P3)</f>
        <v>2.409979253022731</v>
      </c>
      <c r="Q9" s="36">
        <f t="shared" si="0"/>
        <v>-11.42713567839196</v>
      </c>
      <c r="R9" s="36">
        <f t="shared" si="1"/>
        <v>2.5203916199267017E-08</v>
      </c>
      <c r="S9" s="36">
        <f t="shared" si="2"/>
        <v>0.0016705124559479672</v>
      </c>
      <c r="T9" s="35" t="s">
        <v>15</v>
      </c>
      <c r="U9" s="36">
        <f>SQRT((1+O22)*P5/P3+O21*P5/P4-IF(main!J18=4,P26,1)*2*main!P8*P5/P3)</f>
        <v>2.409979253022731</v>
      </c>
      <c r="V9" s="36">
        <f t="shared" si="5"/>
        <v>-9.246231155778897</v>
      </c>
      <c r="W9" s="36">
        <f t="shared" si="3"/>
        <v>0.001704370198837328</v>
      </c>
      <c r="X9" s="36">
        <f t="shared" si="4"/>
        <v>3.617530489530062E-06</v>
      </c>
      <c r="Y9" s="36"/>
      <c r="Z9" s="36"/>
    </row>
    <row r="10" spans="14:26" ht="12.75">
      <c r="N10" s="36"/>
      <c r="O10" s="35" t="s">
        <v>16</v>
      </c>
      <c r="P10" s="36">
        <f>P28</f>
        <v>2.0282997806044354</v>
      </c>
      <c r="Q10" s="36">
        <f t="shared" si="0"/>
        <v>-11.331658291457286</v>
      </c>
      <c r="R10" s="36">
        <f t="shared" si="1"/>
        <v>3.2821754197237024E-08</v>
      </c>
      <c r="S10" s="36">
        <f t="shared" si="2"/>
        <v>0.0019297533045241205</v>
      </c>
      <c r="T10" s="35" t="s">
        <v>16</v>
      </c>
      <c r="U10" s="36">
        <f>U28</f>
        <v>3.149920633920798</v>
      </c>
      <c r="V10" s="36">
        <f t="shared" si="5"/>
        <v>-9.12060301507538</v>
      </c>
      <c r="W10" s="36">
        <f t="shared" si="3"/>
        <v>0.0019145300271224076</v>
      </c>
      <c r="X10" s="36">
        <f t="shared" si="4"/>
        <v>4.338133355423356E-06</v>
      </c>
      <c r="Y10" s="36"/>
      <c r="Z10" s="36"/>
    </row>
    <row r="11" spans="14:26" ht="12.75">
      <c r="N11" s="36"/>
      <c r="O11" s="35" t="s">
        <v>14</v>
      </c>
      <c r="P11" s="36">
        <f>TRUNC(MIN(-3.3*P10,(P2-main!C12)-3.3*P10)-0.5)</f>
        <v>-12</v>
      </c>
      <c r="Q11" s="36">
        <f t="shared" si="0"/>
        <v>-11.236180904522612</v>
      </c>
      <c r="R11" s="36">
        <f t="shared" si="1"/>
        <v>4.2647465546422745E-08</v>
      </c>
      <c r="S11" s="36">
        <f t="shared" si="2"/>
        <v>0.002224290694167394</v>
      </c>
      <c r="T11" s="35" t="s">
        <v>14</v>
      </c>
      <c r="U11" s="36">
        <f>TRUNC(MIN(-3.2*U10,(U2-main!C12)-3.2*U10)-0.5)</f>
        <v>-10</v>
      </c>
      <c r="V11" s="36">
        <f t="shared" si="5"/>
        <v>-8.994974874371863</v>
      </c>
      <c r="W11" s="36">
        <f t="shared" si="3"/>
        <v>0.002147185777518921</v>
      </c>
      <c r="X11" s="36">
        <f t="shared" si="4"/>
        <v>5.194010051407836E-06</v>
      </c>
      <c r="Y11" s="36"/>
      <c r="Z11" s="36"/>
    </row>
    <row r="12" spans="14:26" ht="12.75">
      <c r="N12" s="36"/>
      <c r="O12" s="35" t="s">
        <v>3</v>
      </c>
      <c r="P12" s="36">
        <f>TRUNC(MAX((P2-main!C12)+3.3*P10,3.3*P10)+0.5)</f>
        <v>7</v>
      </c>
      <c r="Q12" s="36">
        <f t="shared" si="0"/>
        <v>-11.140703517587939</v>
      </c>
      <c r="R12" s="36">
        <f t="shared" si="1"/>
        <v>5.5292005412388355E-08</v>
      </c>
      <c r="S12" s="36">
        <f t="shared" si="2"/>
        <v>0.0025581085721283793</v>
      </c>
      <c r="T12" s="35" t="s">
        <v>3</v>
      </c>
      <c r="U12" s="36">
        <f>TRUNC(MAX((U2-main!C12)+3.2*U10,3.2*U10)+0.5)</f>
        <v>15</v>
      </c>
      <c r="V12" s="36">
        <f t="shared" si="5"/>
        <v>-8.869346733668346</v>
      </c>
      <c r="W12" s="36">
        <f t="shared" si="3"/>
        <v>0.0024042866832634053</v>
      </c>
      <c r="X12" s="36">
        <f t="shared" si="4"/>
        <v>6.208859934535928E-06</v>
      </c>
      <c r="Y12" s="36"/>
      <c r="Z12" s="36"/>
    </row>
    <row r="13" spans="14:26" ht="12.75">
      <c r="N13" s="36"/>
      <c r="O13" s="35" t="s">
        <v>4</v>
      </c>
      <c r="P13" s="36">
        <f>(P12-P11)/199</f>
        <v>0.09547738693467336</v>
      </c>
      <c r="Q13" s="36">
        <f t="shared" si="0"/>
        <v>-11.045226130653266</v>
      </c>
      <c r="R13" s="36">
        <f t="shared" si="1"/>
        <v>7.152685557477858E-08</v>
      </c>
      <c r="S13" s="36">
        <f t="shared" si="2"/>
        <v>0.0029355134709706503</v>
      </c>
      <c r="T13" s="35" t="s">
        <v>4</v>
      </c>
      <c r="U13" s="36">
        <f>(U12-U11)/199</f>
        <v>0.12562814070351758</v>
      </c>
      <c r="V13" s="36">
        <f t="shared" si="5"/>
        <v>-8.743718592964829</v>
      </c>
      <c r="W13" s="36">
        <f t="shared" si="3"/>
        <v>0.00268789357771468</v>
      </c>
      <c r="X13" s="36">
        <f t="shared" si="4"/>
        <v>7.410203403990502E-06</v>
      </c>
      <c r="Y13" s="36"/>
      <c r="Z13" s="36"/>
    </row>
    <row r="14" spans="14:26" ht="12.75">
      <c r="N14" s="36"/>
      <c r="O14" s="35" t="s">
        <v>48</v>
      </c>
      <c r="P14" s="36">
        <f>P30*SQRT(P8/2)*EXP(GAMMALN((P8-1)/2)-GAMMALN((P8/2)))/P30</f>
        <v>1.032668218003526</v>
      </c>
      <c r="Q14" s="36">
        <f t="shared" si="0"/>
        <v>-10.949748743718592</v>
      </c>
      <c r="R14" s="36">
        <f t="shared" si="1"/>
        <v>9.232378504487411E-08</v>
      </c>
      <c r="S14" s="36">
        <f t="shared" si="2"/>
        <v>0.0033611419857510474</v>
      </c>
      <c r="T14" s="35"/>
      <c r="U14" s="36">
        <f>U30*SQRT(U8/2)*EXP(GAMMALN((U8-1)/2)-GAMMALN((U8/2)))/U30</f>
        <v>1.032668218003526</v>
      </c>
      <c r="V14" s="36">
        <f t="shared" si="5"/>
        <v>-8.618090452261312</v>
      </c>
      <c r="W14" s="36">
        <f t="shared" si="3"/>
        <v>0.0030001783841806856</v>
      </c>
      <c r="X14" s="36">
        <f t="shared" si="4"/>
        <v>8.829936595481457E-06</v>
      </c>
      <c r="Y14" s="36"/>
      <c r="Z14" s="36"/>
    </row>
    <row r="15" spans="14:26" ht="12.75">
      <c r="N15" s="36"/>
      <c r="O15" s="35" t="s">
        <v>49</v>
      </c>
      <c r="P15" s="36">
        <f>SQRT(P8/(P8-2)*(1+P30^2)-P8*P30^2/2*EXP(GAMMALN((P8-1)/2)-GAMMALN(P8/2))^2)</f>
        <v>1.1134738570575917</v>
      </c>
      <c r="Q15" s="36">
        <f t="shared" si="0"/>
        <v>-10.854271356783919</v>
      </c>
      <c r="R15" s="36">
        <f t="shared" si="1"/>
        <v>1.1890380310574738E-07</v>
      </c>
      <c r="S15" s="36">
        <f t="shared" si="2"/>
        <v>0.0038399654483484355</v>
      </c>
      <c r="T15" s="35"/>
      <c r="U15" s="36">
        <f>SQRT(U8/(U8-2)*(1+U30^2)-U8*U30^2/2*EXP(GAMMALN((U8-1)/2)-GAMMALN(U8/2))^2)</f>
        <v>1.0736173944669287</v>
      </c>
      <c r="V15" s="36">
        <f t="shared" si="5"/>
        <v>-8.492462311557794</v>
      </c>
      <c r="W15" s="36">
        <f t="shared" si="3"/>
        <v>0.0033434226115050206</v>
      </c>
      <c r="X15" s="36">
        <f t="shared" si="4"/>
        <v>1.0504955824649211E-05</v>
      </c>
      <c r="Y15" s="36"/>
      <c r="Z15" s="36"/>
    </row>
    <row r="16" spans="14:26" ht="12.75">
      <c r="N16" s="36"/>
      <c r="O16" s="35"/>
      <c r="P16" s="36"/>
      <c r="Q16" s="36">
        <f t="shared" si="0"/>
        <v>-10.758793969849245</v>
      </c>
      <c r="R16" s="36">
        <f t="shared" si="1"/>
        <v>1.527972600732935E-07</v>
      </c>
      <c r="S16" s="36">
        <f t="shared" si="2"/>
        <v>0.004377291319458895</v>
      </c>
      <c r="T16" s="35"/>
      <c r="U16" s="36"/>
      <c r="V16" s="36">
        <f t="shared" si="5"/>
        <v>-8.366834170854277</v>
      </c>
      <c r="W16" s="36">
        <f t="shared" si="3"/>
        <v>0.003720014753394518</v>
      </c>
      <c r="X16" s="36">
        <f t="shared" si="4"/>
        <v>1.2477858755899112E-05</v>
      </c>
      <c r="Y16" s="36"/>
      <c r="Z16" s="36"/>
    </row>
    <row r="17" spans="14:26" ht="12.75">
      <c r="N17" s="36"/>
      <c r="O17" s="35">
        <f>-main!C4*P10</f>
        <v>-4.186204970715051</v>
      </c>
      <c r="P17" s="36">
        <f>MAX(R3:R202)</f>
        <v>0.19666629639279395</v>
      </c>
      <c r="Q17" s="36">
        <f t="shared" si="0"/>
        <v>-10.663316582914572</v>
      </c>
      <c r="R17" s="36">
        <f t="shared" si="1"/>
        <v>1.959174250397103E-07</v>
      </c>
      <c r="S17" s="36">
        <f t="shared" si="2"/>
        <v>0.00497876080313667</v>
      </c>
      <c r="T17" s="35">
        <f>main!C4*U10</f>
        <v>6.501116620516344</v>
      </c>
      <c r="U17" s="36">
        <f>MAX(W3:W202)</f>
        <v>0.12663541840746773</v>
      </c>
      <c r="V17" s="36">
        <f t="shared" si="5"/>
        <v>-8.24120603015076</v>
      </c>
      <c r="W17" s="36">
        <f t="shared" si="3"/>
        <v>0.004132446490418857</v>
      </c>
      <c r="X17" s="36">
        <f t="shared" si="4"/>
        <v>1.4797729682767753E-05</v>
      </c>
      <c r="Y17" s="36"/>
      <c r="Z17" s="36"/>
    </row>
    <row r="18" spans="14:26" ht="12.75">
      <c r="N18" s="36"/>
      <c r="O18" s="35">
        <f>O17</f>
        <v>-4.186204970715051</v>
      </c>
      <c r="P18" s="36" t="e">
        <f>main!#REF!</f>
        <v>#REF!</v>
      </c>
      <c r="Q18" s="36">
        <f t="shared" si="0"/>
        <v>-10.567839195979898</v>
      </c>
      <c r="R18" s="36">
        <f t="shared" si="1"/>
        <v>2.5065030549381765E-07</v>
      </c>
      <c r="S18" s="36">
        <f t="shared" si="2"/>
        <v>0.005650342180226198</v>
      </c>
      <c r="T18" s="35">
        <f>T17</f>
        <v>6.501116620516344</v>
      </c>
      <c r="U18" s="36" t="e">
        <f>P18</f>
        <v>#REF!</v>
      </c>
      <c r="V18" s="36">
        <f t="shared" si="5"/>
        <v>-8.115577889447243</v>
      </c>
      <c r="W18" s="36">
        <f t="shared" si="3"/>
        <v>0.004583307596029614</v>
      </c>
      <c r="X18" s="36">
        <f t="shared" si="4"/>
        <v>1.752101669151243E-05</v>
      </c>
      <c r="Y18" s="36"/>
      <c r="Z18" s="36"/>
    </row>
    <row r="19" spans="14:26" ht="12.75">
      <c r="N19" s="36"/>
      <c r="O19" s="35" t="s">
        <v>18</v>
      </c>
      <c r="P19" s="36">
        <f>main!P2</f>
        <v>2</v>
      </c>
      <c r="Q19" s="36">
        <f t="shared" si="0"/>
        <v>-10.472361809045225</v>
      </c>
      <c r="R19" s="36">
        <f t="shared" si="1"/>
        <v>3.1996397896961073E-07</v>
      </c>
      <c r="S19" s="36">
        <f t="shared" si="2"/>
        <v>0.006398319356801596</v>
      </c>
      <c r="T19" s="35" t="s">
        <v>18</v>
      </c>
      <c r="U19" s="36">
        <f>P19</f>
        <v>2</v>
      </c>
      <c r="V19" s="36">
        <f t="shared" si="5"/>
        <v>-7.989949748743726</v>
      </c>
      <c r="W19" s="36">
        <f t="shared" si="3"/>
        <v>0.00507527945196132</v>
      </c>
      <c r="X19" s="36">
        <f t="shared" si="4"/>
        <v>2.071250883051165E-05</v>
      </c>
      <c r="Y19" s="36"/>
      <c r="Z19" s="36"/>
    </row>
    <row r="20" spans="14:26" ht="12.75">
      <c r="N20" s="36"/>
      <c r="O20" s="35"/>
      <c r="P20" s="36">
        <f>P5/P3</f>
        <v>4.84</v>
      </c>
      <c r="Q20" s="36">
        <f t="shared" si="0"/>
        <v>-10.376884422110551</v>
      </c>
      <c r="R20" s="36">
        <f t="shared" si="1"/>
        <v>4.0754129024751634E-07</v>
      </c>
      <c r="S20" s="36">
        <f t="shared" si="2"/>
        <v>0.007229275132981897</v>
      </c>
      <c r="T20" s="35"/>
      <c r="U20" s="36">
        <f>U5/U3</f>
        <v>4.84</v>
      </c>
      <c r="V20" s="36">
        <f t="shared" si="5"/>
        <v>-7.864321608040209</v>
      </c>
      <c r="W20" s="36">
        <f t="shared" si="3"/>
        <v>0.0056111270841120945</v>
      </c>
      <c r="X20" s="36">
        <f t="shared" si="4"/>
        <v>2.444642171226259E-05</v>
      </c>
      <c r="Y20" s="36"/>
      <c r="Z20" s="36"/>
    </row>
    <row r="21" spans="14:26" ht="12.75">
      <c r="N21" s="36"/>
      <c r="O21" s="35">
        <f>IF(C19=4,P27^2,1)</f>
        <v>1</v>
      </c>
      <c r="P21" s="36">
        <f>P6/P4</f>
        <v>1.21</v>
      </c>
      <c r="Q21" s="36">
        <f t="shared" si="0"/>
        <v>-10.281407035175878</v>
      </c>
      <c r="R21" s="36">
        <f t="shared" si="1"/>
        <v>5.179404380700277E-07</v>
      </c>
      <c r="S21" s="36">
        <f t="shared" si="2"/>
        <v>0.008150068717338806</v>
      </c>
      <c r="T21" s="35">
        <f>IF(H19=4,U27^2,1)</f>
        <v>1</v>
      </c>
      <c r="U21" s="36">
        <f>U6/U4</f>
        <v>10.89</v>
      </c>
      <c r="V21" s="36">
        <f t="shared" si="5"/>
        <v>-7.738693467336692</v>
      </c>
      <c r="W21" s="36">
        <f t="shared" si="3"/>
        <v>0.006193689637561685</v>
      </c>
      <c r="X21" s="36">
        <f t="shared" si="4"/>
        <v>2.880760021880596E-05</v>
      </c>
      <c r="Y21" s="36"/>
      <c r="Z21" s="36"/>
    </row>
    <row r="22" spans="14:26" ht="12.75">
      <c r="N22" s="36"/>
      <c r="O22" s="35">
        <f>IF(C19=4,P26^2,0)</f>
        <v>0</v>
      </c>
      <c r="P22" s="36">
        <f>P6/P3</f>
        <v>1.21</v>
      </c>
      <c r="Q22" s="36">
        <f t="shared" si="0"/>
        <v>-10.185929648241205</v>
      </c>
      <c r="R22" s="36">
        <f t="shared" si="1"/>
        <v>6.567887421216683E-07</v>
      </c>
      <c r="S22" s="36">
        <f t="shared" si="2"/>
        <v>0.009167807043578571</v>
      </c>
      <c r="T22" s="35">
        <f>IF(H19=4,U26^2,0)</f>
        <v>0</v>
      </c>
      <c r="U22" s="36">
        <f>U6/U3</f>
        <v>10.89</v>
      </c>
      <c r="V22" s="36">
        <f t="shared" si="5"/>
        <v>-7.6130653266331745</v>
      </c>
      <c r="W22" s="36">
        <f t="shared" si="3"/>
        <v>0.00682586921885705</v>
      </c>
      <c r="X22" s="36">
        <f t="shared" si="4"/>
        <v>3.3892847150390704E-05</v>
      </c>
      <c r="Y22" s="36"/>
      <c r="Z22" s="36"/>
    </row>
    <row r="23" spans="14:26" ht="12.75">
      <c r="N23" s="36"/>
      <c r="O23" s="35">
        <f>IF(C19=4,P26,1)</f>
        <v>1</v>
      </c>
      <c r="P23" s="36">
        <f>-2*main!P8*SQRT(P5*P6)/P3</f>
        <v>-1.9360000000000002</v>
      </c>
      <c r="Q23" s="36">
        <f t="shared" si="0"/>
        <v>-10.090452261306531</v>
      </c>
      <c r="R23" s="36">
        <f t="shared" si="1"/>
        <v>8.310157536275016E-07</v>
      </c>
      <c r="S23" s="36">
        <f t="shared" si="2"/>
        <v>0.010289809490143804</v>
      </c>
      <c r="T23" s="35">
        <f>IF(H19=4,U26,1)</f>
        <v>1</v>
      </c>
      <c r="U23" s="36">
        <f>-2*main!P8*SQRT(U5*U6)/U3</f>
        <v>-5.808000000000001</v>
      </c>
      <c r="V23" s="36">
        <f t="shared" si="5"/>
        <v>-7.487437185929657</v>
      </c>
      <c r="W23" s="36">
        <f t="shared" si="3"/>
        <v>0.007510618045143967</v>
      </c>
      <c r="X23" s="36">
        <f t="shared" si="4"/>
        <v>3.981238673475407E-05</v>
      </c>
      <c r="Y23" s="36"/>
      <c r="Z23" s="36"/>
    </row>
    <row r="24" spans="14:26" ht="12.75">
      <c r="N24" s="36"/>
      <c r="O24" s="35" t="s">
        <v>25</v>
      </c>
      <c r="P24" s="36">
        <f>1/((P5+P6-2*main!P8*SQRT(P5*P6))/P3)</f>
        <v>0.24307243558580457</v>
      </c>
      <c r="Q24" s="36">
        <f t="shared" si="0"/>
        <v>-9.994974874371858</v>
      </c>
      <c r="R24" s="36">
        <f t="shared" si="1"/>
        <v>1.0491328607766536E-06</v>
      </c>
      <c r="S24" s="36">
        <f t="shared" si="2"/>
        <v>0.011523565660551691</v>
      </c>
      <c r="T24" s="35" t="s">
        <v>25</v>
      </c>
      <c r="U24" s="36">
        <f>1/((U5+U6-2*main!P8*SQRT(U5*U6))/U3)</f>
        <v>0.10078613182826045</v>
      </c>
      <c r="V24" s="36">
        <f t="shared" si="5"/>
        <v>-7.36180904522614</v>
      </c>
      <c r="W24" s="36">
        <f t="shared" si="3"/>
        <v>0.008250923853186078</v>
      </c>
      <c r="X24" s="36">
        <f t="shared" si="4"/>
        <v>4.6691471882794684E-05</v>
      </c>
      <c r="Y24" s="36"/>
      <c r="Z24" s="36"/>
    </row>
    <row r="25" spans="14:26" ht="12.75">
      <c r="N25" s="36"/>
      <c r="O25" s="35" t="s">
        <v>26</v>
      </c>
      <c r="P25" s="36">
        <f>1/(P5/P3+P6/P4)</f>
        <v>0.1652892561983471</v>
      </c>
      <c r="Q25" s="36">
        <f t="shared" si="0"/>
        <v>-9.899497487437184</v>
      </c>
      <c r="R25" s="36">
        <f t="shared" si="1"/>
        <v>1.3215676524086415E-06</v>
      </c>
      <c r="S25" s="36">
        <f t="shared" si="2"/>
        <v>0.012876685953149149</v>
      </c>
      <c r="T25" s="35" t="s">
        <v>26</v>
      </c>
      <c r="U25" s="36">
        <f>1/(U5/U3+U6/U4)</f>
        <v>0.06357279084551812</v>
      </c>
      <c r="V25" s="36">
        <f t="shared" si="5"/>
        <v>-7.236180904522623</v>
      </c>
      <c r="W25" s="36">
        <f t="shared" si="3"/>
        <v>0.009049793536798221</v>
      </c>
      <c r="X25" s="36">
        <f t="shared" si="4"/>
        <v>5.4672143916585423E-05</v>
      </c>
      <c r="Y25" s="36"/>
      <c r="Z25" s="36"/>
    </row>
    <row r="26" spans="14:26" ht="12.75" customHeight="1">
      <c r="N26" s="36"/>
      <c r="O26" s="35" t="s">
        <v>23</v>
      </c>
      <c r="P26" s="36">
        <f>P24/(P24+P25)</f>
        <v>0.5952380952380952</v>
      </c>
      <c r="Q26" s="36">
        <f t="shared" si="0"/>
        <v>-9.80402010050251</v>
      </c>
      <c r="R26" s="36">
        <f t="shared" si="1"/>
        <v>1.6610625485083402E-06</v>
      </c>
      <c r="S26" s="36">
        <f t="shared" si="2"/>
        <v>0.014356844733753076</v>
      </c>
      <c r="T26" s="35" t="s">
        <v>23</v>
      </c>
      <c r="U26" s="36">
        <f>U24/(U24+U25)</f>
        <v>0.6132075471698114</v>
      </c>
      <c r="V26" s="36">
        <f t="shared" si="5"/>
        <v>-7.110552763819106</v>
      </c>
      <c r="W26" s="36">
        <f t="shared" si="3"/>
        <v>0.009910234998705076</v>
      </c>
      <c r="X26" s="36">
        <f t="shared" si="4"/>
        <v>6.391515318737221E-05</v>
      </c>
      <c r="Y26" s="36"/>
      <c r="Z26" s="36"/>
    </row>
    <row r="27" spans="14:26" ht="12.75">
      <c r="N27" s="36"/>
      <c r="O27" s="35" t="s">
        <v>24</v>
      </c>
      <c r="P27" s="36">
        <f>1-P26</f>
        <v>0.40476190476190477</v>
      </c>
      <c r="Q27" s="36">
        <f t="shared" si="0"/>
        <v>-9.708542713567837</v>
      </c>
      <c r="R27" s="36">
        <f t="shared" si="1"/>
        <v>2.083148591501516E-06</v>
      </c>
      <c r="S27" s="36">
        <f t="shared" si="2"/>
        <v>0.01597171602328512</v>
      </c>
      <c r="T27" s="35" t="s">
        <v>24</v>
      </c>
      <c r="U27" s="36">
        <f>1-U26</f>
        <v>0.3867924528301886</v>
      </c>
      <c r="V27" s="36">
        <f t="shared" si="5"/>
        <v>-6.984924623115589</v>
      </c>
      <c r="W27" s="36">
        <f t="shared" si="3"/>
        <v>0.010835237222258405</v>
      </c>
      <c r="X27" s="36">
        <f t="shared" si="4"/>
        <v>7.460204852317056E-05</v>
      </c>
      <c r="Y27" s="36"/>
      <c r="Z27" s="36"/>
    </row>
    <row r="28" spans="1:24" ht="12.75" customHeight="1">
      <c r="A28" s="55"/>
      <c r="B28" s="217" t="s">
        <v>47</v>
      </c>
      <c r="C28" s="218"/>
      <c r="D28" s="218"/>
      <c r="E28" s="218"/>
      <c r="F28" s="218"/>
      <c r="G28" s="218"/>
      <c r="H28" s="218"/>
      <c r="I28" s="218"/>
      <c r="J28" s="218"/>
      <c r="K28" s="218"/>
      <c r="L28" s="218"/>
      <c r="M28" s="218"/>
      <c r="N28" s="148"/>
      <c r="O28" s="149" t="s">
        <v>20</v>
      </c>
      <c r="P28" s="150">
        <f>SQRT(P20+O21*P21+O22*P22+O23*P23)</f>
        <v>2.0282997806044354</v>
      </c>
      <c r="Q28" s="150">
        <f t="shared" si="0"/>
        <v>-9.613065326633164</v>
      </c>
      <c r="R28" s="150">
        <f t="shared" si="1"/>
        <v>2.6067068240719183E-06</v>
      </c>
      <c r="S28" s="150">
        <f t="shared" si="2"/>
        <v>0.017728901724605204</v>
      </c>
      <c r="T28" s="149" t="s">
        <v>20</v>
      </c>
      <c r="U28" s="150">
        <f>SQRT(U20+T21*U21+T22*U22+T23*U23)</f>
        <v>3.149920633920798</v>
      </c>
      <c r="V28" s="150">
        <f t="shared" si="5"/>
        <v>-6.859296482412072</v>
      </c>
      <c r="W28" s="150">
        <f t="shared" si="3"/>
        <v>0.01182774858970878</v>
      </c>
      <c r="X28" s="150">
        <f t="shared" si="4"/>
        <v>8.693744277575582E-05</v>
      </c>
    </row>
    <row r="29" spans="1:24" ht="12.75">
      <c r="A29" s="55"/>
      <c r="B29" s="218"/>
      <c r="C29" s="218"/>
      <c r="D29" s="218"/>
      <c r="E29" s="218"/>
      <c r="F29" s="218"/>
      <c r="G29" s="218"/>
      <c r="H29" s="218"/>
      <c r="I29" s="218"/>
      <c r="J29" s="218"/>
      <c r="K29" s="218"/>
      <c r="L29" s="218"/>
      <c r="M29" s="218"/>
      <c r="N29" s="148"/>
      <c r="O29" s="149" t="s">
        <v>17</v>
      </c>
      <c r="P29" s="150">
        <f>main!P19</f>
        <v>2.063898547318068</v>
      </c>
      <c r="Q29" s="150">
        <f t="shared" si="0"/>
        <v>-9.51758793969849</v>
      </c>
      <c r="R29" s="150">
        <f t="shared" si="1"/>
        <v>3.2546313610992476E-06</v>
      </c>
      <c r="S29" s="150">
        <f t="shared" si="2"/>
        <v>0.019635852537531976</v>
      </c>
      <c r="T29" s="149" t="s">
        <v>17</v>
      </c>
      <c r="U29" s="150">
        <f>P29</f>
        <v>2.063898547318068</v>
      </c>
      <c r="V29" s="150">
        <f t="shared" si="5"/>
        <v>-6.7336683417085545</v>
      </c>
      <c r="W29" s="150">
        <f t="shared" si="3"/>
        <v>0.012890653496691178</v>
      </c>
      <c r="X29" s="150">
        <f t="shared" si="4"/>
        <v>0.00010115146085270694</v>
      </c>
    </row>
    <row r="30" spans="15:24" ht="12.75" customHeight="1">
      <c r="O30" s="149" t="s">
        <v>19</v>
      </c>
      <c r="P30" s="150">
        <f>ABS(P2-main!C12)/P28</f>
        <v>2.4651188388483654</v>
      </c>
      <c r="Q30" s="150">
        <f t="shared" si="0"/>
        <v>-9.422110552763817</v>
      </c>
      <c r="R30" s="150">
        <f t="shared" si="1"/>
        <v>4.05461009648688E-06</v>
      </c>
      <c r="S30" s="150">
        <f t="shared" si="2"/>
        <v>0.02169978184736303</v>
      </c>
      <c r="T30" s="149" t="s">
        <v>19</v>
      </c>
      <c r="U30" s="150">
        <f>ABS(U2-main!C12)/U28</f>
        <v>1.5873415812944958</v>
      </c>
      <c r="V30" s="150">
        <f t="shared" si="5"/>
        <v>-6.608040201005037</v>
      </c>
      <c r="W30" s="150">
        <f t="shared" si="3"/>
        <v>0.014026747337068473</v>
      </c>
      <c r="X30" s="150">
        <f t="shared" si="4"/>
        <v>0.00011750237549896397</v>
      </c>
    </row>
    <row r="31" spans="3:24" ht="12.75">
      <c r="C31" s="215" t="s">
        <v>40</v>
      </c>
      <c r="D31" s="213"/>
      <c r="E31" s="213"/>
      <c r="F31" s="213"/>
      <c r="G31" s="213"/>
      <c r="H31" s="213"/>
      <c r="I31" s="213"/>
      <c r="J31" s="213"/>
      <c r="K31" s="213"/>
      <c r="L31" s="213"/>
      <c r="O31" s="149" t="s">
        <v>21</v>
      </c>
      <c r="P31" s="150">
        <f>P29*(1-1/(4*P8))^2-P30</f>
        <v>-0.443994230607744</v>
      </c>
      <c r="Q31" s="150">
        <f t="shared" si="0"/>
        <v>-9.326633165829143</v>
      </c>
      <c r="R31" s="150">
        <f t="shared" si="1"/>
        <v>5.040040967791366E-06</v>
      </c>
      <c r="S31" s="150">
        <f t="shared" si="2"/>
        <v>0.02392757301852211</v>
      </c>
      <c r="T31" s="149" t="s">
        <v>21</v>
      </c>
      <c r="U31" s="150">
        <f>U29*(1-1/(4*U8))^2-U30</f>
        <v>0.4337830269461256</v>
      </c>
      <c r="V31" s="150">
        <f t="shared" si="5"/>
        <v>-6.48241206030152</v>
      </c>
      <c r="W31" s="150">
        <f t="shared" si="3"/>
        <v>0.015238709958059881</v>
      </c>
      <c r="X31" s="150">
        <f t="shared" si="4"/>
        <v>0.00013627943471164624</v>
      </c>
    </row>
    <row r="32" spans="3:24" ht="12.75">
      <c r="C32" s="213"/>
      <c r="D32" s="213"/>
      <c r="E32" s="213"/>
      <c r="F32" s="213"/>
      <c r="G32" s="213"/>
      <c r="H32" s="213"/>
      <c r="I32" s="213"/>
      <c r="J32" s="213"/>
      <c r="K32" s="213"/>
      <c r="L32" s="213"/>
      <c r="O32" s="149" t="s">
        <v>22</v>
      </c>
      <c r="P32" s="150">
        <f>SQRT(1+P29^2/(2*P8))</f>
        <v>1.04342861532727</v>
      </c>
      <c r="Q32" s="150">
        <f t="shared" si="0"/>
        <v>-9.23115577889447</v>
      </c>
      <c r="R32" s="150">
        <f t="shared" si="1"/>
        <v>6.251103826088498E-06</v>
      </c>
      <c r="S32" s="150">
        <f t="shared" si="2"/>
        <v>0.026325680679308492</v>
      </c>
      <c r="T32" s="149" t="s">
        <v>22</v>
      </c>
      <c r="U32" s="150">
        <f>SQRT(1+U29^2/(2*U8))</f>
        <v>1.04342861532727</v>
      </c>
      <c r="V32" s="150">
        <f t="shared" si="5"/>
        <v>-6.356783919598003</v>
      </c>
      <c r="W32" s="150">
        <f t="shared" si="3"/>
        <v>0.016529077712397165</v>
      </c>
      <c r="X32" s="150">
        <f t="shared" si="4"/>
        <v>0.00015780588300982957</v>
      </c>
    </row>
    <row r="33" spans="17:24" ht="12.75">
      <c r="Q33" s="150">
        <f t="shared" si="0"/>
        <v>-9.135678391959797</v>
      </c>
      <c r="R33" s="150">
        <f t="shared" si="1"/>
        <v>7.73601021364327E-06</v>
      </c>
      <c r="S33" s="150">
        <f t="shared" si="2"/>
        <v>0.02890002674374625</v>
      </c>
      <c r="V33" s="150">
        <f t="shared" si="5"/>
        <v>-6.231155778894486</v>
      </c>
      <c r="W33" s="150">
        <f t="shared" si="3"/>
        <v>0.017900214261794282</v>
      </c>
      <c r="X33" s="150">
        <f t="shared" si="4"/>
        <v>0.00018244217681705728</v>
      </c>
    </row>
    <row r="34" spans="17:24" ht="12.75">
      <c r="Q34" s="150">
        <f t="shared" si="0"/>
        <v>-9.040201005025123</v>
      </c>
      <c r="R34" s="150">
        <f t="shared" si="1"/>
        <v>9.55245571977539E-06</v>
      </c>
      <c r="S34" s="150">
        <f t="shared" si="2"/>
        <v>0.03165589207948506</v>
      </c>
      <c r="V34" s="150">
        <f t="shared" si="5"/>
        <v>-6.105527638190969</v>
      </c>
      <c r="W34" s="150">
        <f t="shared" si="3"/>
        <v>0.01935428031393997</v>
      </c>
      <c r="X34" s="150">
        <f t="shared" si="4"/>
        <v>0.00021058939192980877</v>
      </c>
    </row>
    <row r="35" spans="17:24" ht="12.75">
      <c r="Q35" s="150">
        <f t="shared" si="0"/>
        <v>-8.94472361809045</v>
      </c>
      <c r="R35" s="150">
        <f t="shared" si="1"/>
        <v>1.1769302040735642E-05</v>
      </c>
      <c r="S35" s="150">
        <f t="shared" si="2"/>
        <v>0.034597804893488834</v>
      </c>
      <c r="V35" s="150">
        <f t="shared" si="5"/>
        <v>-5.979899497487452</v>
      </c>
      <c r="W35" s="150">
        <f t="shared" si="3"/>
        <v>0.02089320250314408</v>
      </c>
      <c r="X35" s="150">
        <f t="shared" si="4"/>
        <v>0.00024269281842366028</v>
      </c>
    </row>
    <row r="36" spans="17:24" ht="12.75">
      <c r="Q36" s="150">
        <f t="shared" si="0"/>
        <v>-8.849246231155776</v>
      </c>
      <c r="R36" s="150">
        <f t="shared" si="1"/>
        <v>1.4468518379092114E-05</v>
      </c>
      <c r="S36" s="150">
        <f t="shared" si="2"/>
        <v>0.0377294270664526</v>
      </c>
      <c r="V36" s="150">
        <f t="shared" si="5"/>
        <v>-5.854271356783935</v>
      </c>
      <c r="W36" s="150">
        <f t="shared" si="3"/>
        <v>0.022518641652273304</v>
      </c>
      <c r="X36" s="150">
        <f t="shared" si="4"/>
        <v>0.00027924573537734627</v>
      </c>
    </row>
    <row r="37" spans="17:24" ht="12.75">
      <c r="Q37" s="150">
        <f t="shared" si="0"/>
        <v>-8.753768844221103</v>
      </c>
      <c r="R37" s="150">
        <f t="shared" si="1"/>
        <v>1.774741433939805E-05</v>
      </c>
      <c r="S37" s="150">
        <f t="shared" si="2"/>
        <v>0.04105343981883777</v>
      </c>
      <c r="V37" s="150">
        <f t="shared" si="5"/>
        <v>-5.7286432160804175</v>
      </c>
      <c r="W37" s="150">
        <f t="shared" si="3"/>
        <v>0.024231960680254</v>
      </c>
      <c r="X37" s="150">
        <f t="shared" si="4"/>
        <v>0.0003207933544641223</v>
      </c>
    </row>
    <row r="38" spans="17:24" ht="12.75">
      <c r="Q38" s="150">
        <f t="shared" si="0"/>
        <v>-8.65829145728643</v>
      </c>
      <c r="R38" s="150">
        <f t="shared" si="1"/>
        <v>2.172119895670767E-05</v>
      </c>
      <c r="S38" s="150">
        <f t="shared" si="2"/>
        <v>0.04457143023225054</v>
      </c>
      <c r="V38" s="150">
        <f t="shared" si="5"/>
        <v>-5.6030150753769</v>
      </c>
      <c r="W38" s="150">
        <f t="shared" si="3"/>
        <v>0.026034192444735527</v>
      </c>
      <c r="X38" s="150">
        <f t="shared" si="4"/>
        <v>0.0003679369177652158</v>
      </c>
    </row>
    <row r="39" spans="17:24" ht="12.75">
      <c r="Q39" s="150">
        <f t="shared" si="0"/>
        <v>-8.562814070351756</v>
      </c>
      <c r="R39" s="150">
        <f t="shared" si="1"/>
        <v>2.652590286833265E-05</v>
      </c>
      <c r="S39" s="150">
        <f t="shared" si="2"/>
        <v>0.04828378027563438</v>
      </c>
      <c r="V39" s="150">
        <f t="shared" si="5"/>
        <v>-5.477386934673383</v>
      </c>
      <c r="W39" s="150">
        <f t="shared" si="3"/>
        <v>0.027926007833010996</v>
      </c>
      <c r="X39" s="150">
        <f t="shared" si="4"/>
        <v>0.00042133793110272686</v>
      </c>
    </row>
    <row r="40" spans="17:24" ht="12.75">
      <c r="Q40" s="150">
        <f t="shared" si="0"/>
        <v>-8.467336683417082</v>
      </c>
      <c r="R40" s="150">
        <f t="shared" si="1"/>
        <v>3.2321702830270834E-05</v>
      </c>
      <c r="S40" s="150">
        <f t="shared" si="2"/>
        <v>0.052189560092411345</v>
      </c>
      <c r="V40" s="150">
        <f t="shared" si="5"/>
        <v>-5.351758793969866</v>
      </c>
      <c r="W40" s="150">
        <f t="shared" si="3"/>
        <v>0.029907684435496646</v>
      </c>
      <c r="X40" s="150">
        <f t="shared" si="4"/>
        <v>0.0004817225097764109</v>
      </c>
    </row>
    <row r="41" spans="17:24" ht="12.75">
      <c r="Q41" s="150">
        <f t="shared" si="0"/>
        <v>-8.371859296482409</v>
      </c>
      <c r="R41" s="150">
        <f t="shared" si="1"/>
        <v>3.929668969807011E-05</v>
      </c>
      <c r="S41" s="150">
        <f t="shared" si="2"/>
        <v>0.056286427388375436</v>
      </c>
      <c r="V41" s="150">
        <f t="shared" si="5"/>
        <v>-5.226130653266349</v>
      </c>
      <c r="W41" s="150">
        <f t="shared" si="3"/>
        <v>0.03197907615448108</v>
      </c>
      <c r="X41" s="150">
        <f t="shared" si="4"/>
        <v>0.0005498858088347861</v>
      </c>
    </row>
    <row r="42" spans="17:24" ht="12.75">
      <c r="Q42" s="150">
        <f t="shared" si="0"/>
        <v>-8.276381909547736</v>
      </c>
      <c r="R42" s="150">
        <f t="shared" si="1"/>
        <v>4.7671122533922047E-05</v>
      </c>
      <c r="S42" s="150">
        <f t="shared" si="2"/>
        <v>0.06057053481708488</v>
      </c>
      <c r="V42" s="150">
        <f t="shared" si="5"/>
        <v>-5.100502512562832</v>
      </c>
      <c r="W42" s="150">
        <f t="shared" si="3"/>
        <v>0.034139584115992376</v>
      </c>
      <c r="X42" s="150">
        <f t="shared" si="4"/>
        <v>0.0006266965049384284</v>
      </c>
    </row>
    <row r="43" spans="17:24" ht="12.75">
      <c r="Q43" s="150">
        <f t="shared" si="0"/>
        <v>-8.180904522613062</v>
      </c>
      <c r="R43" s="150">
        <f t="shared" si="1"/>
        <v>5.7702212550000825E-05</v>
      </c>
      <c r="S43" s="150">
        <f t="shared" si="2"/>
        <v>0.06503644728628677</v>
      </c>
      <c r="V43" s="150">
        <f t="shared" si="5"/>
        <v>-4.974874371859315</v>
      </c>
      <c r="W43" s="150">
        <f t="shared" si="3"/>
        <v>0.03638812926402779</v>
      </c>
      <c r="X43" s="150">
        <f t="shared" si="4"/>
        <v>0.0007131012915132013</v>
      </c>
    </row>
    <row r="44" spans="17:24" ht="12.75">
      <c r="Q44" s="150">
        <f t="shared" si="0"/>
        <v>-8.085427135678389</v>
      </c>
      <c r="R44" s="150">
        <f t="shared" si="1"/>
        <v>6.968948102104532E-05</v>
      </c>
      <c r="S44" s="150">
        <f t="shared" si="2"/>
        <v>0.06967707110251128</v>
      </c>
      <c r="V44" s="150">
        <f t="shared" si="5"/>
        <v>-4.849246231155798</v>
      </c>
      <c r="W44" s="150">
        <f t="shared" si="3"/>
        <v>0.03872312702361145</v>
      </c>
      <c r="X44" s="150">
        <f t="shared" si="4"/>
        <v>0.0008101293432841222</v>
      </c>
    </row>
    <row r="45" spans="17:24" ht="12.75">
      <c r="Q45" s="150">
        <f t="shared" si="0"/>
        <v>-7.989949748743715</v>
      </c>
      <c r="R45" s="150">
        <f t="shared" si="1"/>
        <v>8.398073495214593E-05</v>
      </c>
      <c r="S45" s="150">
        <f t="shared" si="2"/>
        <v>0.0744835968288867</v>
      </c>
      <c r="V45" s="150">
        <f t="shared" si="5"/>
        <v>-4.72361809045228</v>
      </c>
      <c r="W45" s="150">
        <f t="shared" si="3"/>
        <v>0.04114246442179168</v>
      </c>
      <c r="X45" s="150">
        <f t="shared" si="4"/>
        <v>0.0009188967004769801</v>
      </c>
    </row>
    <row r="46" spans="17:24" ht="12.75">
      <c r="Q46" s="150">
        <f t="shared" si="0"/>
        <v>-7.894472361809042</v>
      </c>
      <c r="R46" s="150">
        <f t="shared" si="1"/>
        <v>0.00010097870301339693</v>
      </c>
      <c r="S46" s="150">
        <f t="shared" si="2"/>
        <v>0.07944545765156331</v>
      </c>
      <c r="V46" s="150">
        <f t="shared" si="5"/>
        <v>-4.597989949748763</v>
      </c>
      <c r="W46" s="150">
        <f t="shared" si="3"/>
        <v>0.04364348005340864</v>
      </c>
      <c r="X46" s="150">
        <f t="shared" si="4"/>
        <v>0.0010406105170358401</v>
      </c>
    </row>
    <row r="47" spans="17:24" ht="12.75">
      <c r="Q47" s="150">
        <f t="shared" si="0"/>
        <v>-7.798994974874368</v>
      </c>
      <c r="R47" s="150">
        <f t="shared" si="1"/>
        <v>0.00012114837188343526</v>
      </c>
      <c r="S47" s="150">
        <f t="shared" si="2"/>
        <v>0.08455030493172697</v>
      </c>
      <c r="V47" s="150">
        <f t="shared" si="5"/>
        <v>-4.472361809045246</v>
      </c>
      <c r="W47" s="150">
        <f t="shared" si="3"/>
        <v>0.04622294727096054</v>
      </c>
      <c r="X47" s="150">
        <f t="shared" si="4"/>
        <v>0.001176573111201749</v>
      </c>
    </row>
    <row r="48" spans="17:24" ht="12.75">
      <c r="Q48" s="150">
        <f t="shared" si="0"/>
        <v>-7.703517587939695</v>
      </c>
      <c r="R48" s="150">
        <f t="shared" si="1"/>
        <v>0.00014502505950216084</v>
      </c>
      <c r="S48" s="150">
        <f t="shared" si="2"/>
        <v>0.08978400246266102</v>
      </c>
      <c r="V48" s="150">
        <f t="shared" si="5"/>
        <v>-4.346733668341729</v>
      </c>
      <c r="W48" s="150">
        <f t="shared" si="3"/>
        <v>0.048877060964945124</v>
      </c>
      <c r="X48" s="150">
        <f t="shared" si="4"/>
        <v>0.00132818575081432</v>
      </c>
    </row>
    <row r="49" spans="17:24" ht="12.75">
      <c r="Q49" s="150">
        <f t="shared" si="0"/>
        <v>-7.608040201005021</v>
      </c>
      <c r="R49" s="150">
        <f t="shared" si="1"/>
        <v>0.00017322325663661386</v>
      </c>
      <c r="S49" s="150">
        <f t="shared" si="2"/>
        <v>0.09513064075517917</v>
      </c>
      <c r="V49" s="150">
        <f t="shared" si="5"/>
        <v>-4.221105527638212</v>
      </c>
      <c r="W49" s="150">
        <f t="shared" si="3"/>
        <v>0.05160142828249699</v>
      </c>
      <c r="X49" s="150">
        <f t="shared" si="4"/>
        <v>0.0014969520998267614</v>
      </c>
    </row>
    <row r="50" spans="17:24" ht="12.75">
      <c r="Q50" s="150">
        <f t="shared" si="0"/>
        <v>-7.512562814070348</v>
      </c>
      <c r="R50" s="150">
        <f t="shared" si="1"/>
        <v>0.00020644626142853127</v>
      </c>
      <c r="S50" s="150">
        <f t="shared" si="2"/>
        <v>0.10057257244141561</v>
      </c>
      <c r="V50" s="150">
        <f t="shared" si="5"/>
        <v>-4.095477386934695</v>
      </c>
      <c r="W50" s="150">
        <f t="shared" si="3"/>
        <v>0.05439106360791011</v>
      </c>
      <c r="X50" s="150">
        <f t="shared" si="4"/>
        <v>0.0016844812468709432</v>
      </c>
    </row>
    <row r="51" spans="17:24" ht="12.75">
      <c r="Q51" s="150">
        <f t="shared" si="0"/>
        <v>-7.4170854271356745</v>
      </c>
      <c r="R51" s="150">
        <f t="shared" si="1"/>
        <v>0.00024549662303538966</v>
      </c>
      <c r="S51" s="150">
        <f t="shared" si="2"/>
        <v>0.10609046961877915</v>
      </c>
      <c r="V51" s="150">
        <f t="shared" si="5"/>
        <v>-3.969849246231177</v>
      </c>
      <c r="W51" s="150">
        <f t="shared" si="3"/>
        <v>0.05724038809874441</v>
      </c>
      <c r="X51" s="150">
        <f t="shared" si="4"/>
        <v>0.0018924902313864856</v>
      </c>
    </row>
    <row r="52" spans="17:24" ht="12.75">
      <c r="Q52" s="150">
        <f t="shared" si="0"/>
        <v>-7.321608040201001</v>
      </c>
      <c r="R52" s="150">
        <f t="shared" si="1"/>
        <v>0.0002912873999244572</v>
      </c>
      <c r="S52" s="150">
        <f t="shared" si="2"/>
        <v>0.11166340365615643</v>
      </c>
      <c r="V52" s="150">
        <f t="shared" si="5"/>
        <v>-3.8442211055276596</v>
      </c>
      <c r="W52" s="150">
        <f t="shared" si="3"/>
        <v>0.060143234035775005</v>
      </c>
      <c r="X52" s="150">
        <f t="shared" si="4"/>
        <v>0.0021228059779604992</v>
      </c>
    </row>
    <row r="53" spans="17:24" ht="12.75">
      <c r="Q53" s="150">
        <f t="shared" si="0"/>
        <v>-7.226130653266328</v>
      </c>
      <c r="R53" s="150">
        <f t="shared" si="1"/>
        <v>0.00034485422567113923</v>
      </c>
      <c r="S53" s="150">
        <f t="shared" si="2"/>
        <v>0.11726894765740953</v>
      </c>
      <c r="V53" s="150">
        <f t="shared" si="5"/>
        <v>-3.718592964824142</v>
      </c>
      <c r="W53" s="150">
        <f t="shared" si="3"/>
        <v>0.06309285420426067</v>
      </c>
      <c r="X53" s="150">
        <f t="shared" si="4"/>
        <v>0.002377366545244581</v>
      </c>
    </row>
    <row r="54" spans="17:24" ht="12.75">
      <c r="Q54" s="150">
        <f t="shared" si="0"/>
        <v>-7.130653266331654</v>
      </c>
      <c r="R54" s="150">
        <f t="shared" si="1"/>
        <v>0.00040736816010930545</v>
      </c>
      <c r="S54" s="150">
        <f t="shared" si="2"/>
        <v>0.12288330142794918</v>
      </c>
      <c r="V54" s="150">
        <f t="shared" si="5"/>
        <v>-3.5929648241206245</v>
      </c>
      <c r="W54" s="150">
        <f t="shared" si="3"/>
        <v>0.06608193647818708</v>
      </c>
      <c r="X54" s="150">
        <f t="shared" si="4"/>
        <v>0.0026582215922616175</v>
      </c>
    </row>
    <row r="55" spans="17:24" ht="12.75">
      <c r="Q55" s="150">
        <f t="shared" si="0"/>
        <v>-7.035175879396981</v>
      </c>
      <c r="R55" s="150">
        <f t="shared" si="1"/>
        <v>0.00048014928627159305</v>
      </c>
      <c r="S55" s="150">
        <f t="shared" si="2"/>
        <v>0.12848143842456608</v>
      </c>
      <c r="V55" s="150">
        <f t="shared" si="5"/>
        <v>-3.467336683417107</v>
      </c>
      <c r="W55" s="150">
        <f t="shared" si="3"/>
        <v>0.06910262372868761</v>
      </c>
      <c r="X55" s="150">
        <f t="shared" si="4"/>
        <v>0.0029675319622314562</v>
      </c>
    </row>
    <row r="56" spans="17:24" ht="12.75">
      <c r="Q56" s="150">
        <f t="shared" si="0"/>
        <v>-6.939698492462307</v>
      </c>
      <c r="R56" s="150">
        <f t="shared" si="1"/>
        <v>0.0005646809936682548</v>
      </c>
      <c r="S56" s="150">
        <f t="shared" si="2"/>
        <v>0.13403727379335395</v>
      </c>
      <c r="V56" s="150">
        <f t="shared" si="5"/>
        <v>-3.3417085427135893</v>
      </c>
      <c r="W56" s="150">
        <f t="shared" si="3"/>
        <v>0.07214653912325639</v>
      </c>
      <c r="X56" s="150">
        <f t="shared" si="4"/>
        <v>0.0033075682823779356</v>
      </c>
    </row>
    <row r="57" spans="17:24" ht="12.75">
      <c r="Q57" s="150">
        <f t="shared" si="0"/>
        <v>-6.844221105527634</v>
      </c>
      <c r="R57" s="150">
        <f t="shared" si="1"/>
        <v>0.0006626248660562451</v>
      </c>
      <c r="S57" s="150">
        <f t="shared" si="2"/>
        <v>0.1395238522226053</v>
      </c>
      <c r="V57" s="150">
        <f t="shared" si="5"/>
        <v>-3.2160804020100717</v>
      </c>
      <c r="W57" s="150">
        <f t="shared" si="3"/>
        <v>0.075204816824241</v>
      </c>
      <c r="X57" s="150">
        <f t="shared" si="4"/>
        <v>0.0036807084776789355</v>
      </c>
    </row>
    <row r="58" spans="17:24" ht="12.75">
      <c r="Q58" s="150">
        <f t="shared" si="0"/>
        <v>-6.74874371859296</v>
      </c>
      <c r="R58" s="150">
        <f t="shared" si="1"/>
        <v>0.0007758360669734766</v>
      </c>
      <c r="S58" s="150">
        <f t="shared" si="2"/>
        <v>0.14491355396457428</v>
      </c>
      <c r="V58" s="150">
        <f t="shared" si="5"/>
        <v>-3.090452261306554</v>
      </c>
      <c r="W58" s="150">
        <f t="shared" si="3"/>
        <v>0.07826813803411321</v>
      </c>
      <c r="X58" s="150">
        <f t="shared" si="4"/>
        <v>0.004089434097331538</v>
      </c>
    </row>
    <row r="59" spans="17:24" ht="12.75">
      <c r="Q59" s="150">
        <f t="shared" si="0"/>
        <v>-6.653266331658287</v>
      </c>
      <c r="R59" s="150">
        <f t="shared" si="1"/>
        <v>0.0009063790890485601</v>
      </c>
      <c r="S59" s="150">
        <f t="shared" si="2"/>
        <v>0.1501783170197895</v>
      </c>
      <c r="V59" s="150">
        <f t="shared" si="5"/>
        <v>-2.9648241206030366</v>
      </c>
      <c r="W59" s="150">
        <f t="shared" si="3"/>
        <v>0.081326772271924</v>
      </c>
      <c r="X59" s="150">
        <f t="shared" si="4"/>
        <v>0.0045363253549675</v>
      </c>
    </row>
    <row r="60" spans="17:24" ht="12.75">
      <c r="Q60" s="150">
        <f t="shared" si="0"/>
        <v>-6.5577889447236135</v>
      </c>
      <c r="R60" s="150">
        <f t="shared" si="1"/>
        <v>0.001056543703609575</v>
      </c>
      <c r="S60" s="150">
        <f t="shared" si="2"/>
        <v>0.15528987313805323</v>
      </c>
      <c r="V60" s="150">
        <f t="shared" si="5"/>
        <v>-2.839195979899519</v>
      </c>
      <c r="W60" s="150">
        <f t="shared" si="3"/>
        <v>0.08437062370098013</v>
      </c>
      <c r="X60" s="150">
        <f t="shared" si="4"/>
        <v>0.0050240547875037515</v>
      </c>
    </row>
    <row r="61" spans="17:24" ht="12.75">
      <c r="Q61" s="150">
        <f t="shared" si="0"/>
        <v>-6.46231155778894</v>
      </c>
      <c r="R61" s="150">
        <f t="shared" si="1"/>
        <v>0.0012288609156547062</v>
      </c>
      <c r="S61" s="150">
        <f t="shared" si="2"/>
        <v>0.160219994979132</v>
      </c>
      <c r="V61" s="150">
        <f t="shared" si="5"/>
        <v>-2.7135678391960014</v>
      </c>
      <c r="W61" s="150">
        <f t="shared" si="3"/>
        <v>0.0873892822630195</v>
      </c>
      <c r="X61" s="150">
        <f t="shared" si="4"/>
        <v>0.005555379443070185</v>
      </c>
    </row>
    <row r="62" spans="17:24" ht="12.75">
      <c r="Q62" s="150">
        <f t="shared" si="0"/>
        <v>-6.366834170854267</v>
      </c>
      <c r="R62" s="150">
        <f t="shared" si="1"/>
        <v>0.0014261186961510798</v>
      </c>
      <c r="S62" s="150">
        <f t="shared" si="2"/>
        <v>0.16494075150086457</v>
      </c>
      <c r="V62" s="150">
        <f t="shared" si="5"/>
        <v>-2.587939698492484</v>
      </c>
      <c r="W62" s="150">
        <f t="shared" si="3"/>
        <v>0.09037207930993472</v>
      </c>
      <c r="X62" s="150">
        <f t="shared" si="4"/>
        <v>0.006133131515830101</v>
      </c>
    </row>
    <row r="63" spans="17:24" ht="12.75">
      <c r="Q63" s="150">
        <f t="shared" si="0"/>
        <v>-6.271356783919593</v>
      </c>
      <c r="R63" s="150">
        <f t="shared" si="1"/>
        <v>0.001651377229331048</v>
      </c>
      <c r="S63" s="150">
        <f t="shared" si="2"/>
        <v>0.16942476840989887</v>
      </c>
      <c r="V63" s="150">
        <f t="shared" si="5"/>
        <v>-2.4623115577889663</v>
      </c>
      <c r="W63" s="150">
        <f t="shared" si="3"/>
        <v>0.09330814736136048</v>
      </c>
      <c r="X63" s="150">
        <f t="shared" si="4"/>
        <v>0.006760207354786268</v>
      </c>
    </row>
    <row r="64" spans="17:24" ht="12.75">
      <c r="Q64" s="150">
        <f t="shared" si="0"/>
        <v>-6.17587939698492</v>
      </c>
      <c r="R64" s="150">
        <f t="shared" si="1"/>
        <v>0.0019079833776942273</v>
      </c>
      <c r="S64" s="150">
        <f t="shared" si="2"/>
        <v>0.17364549032672347</v>
      </c>
      <c r="V64" s="150">
        <f t="shared" si="5"/>
        <v>-2.3366834170854487</v>
      </c>
      <c r="W64" s="150">
        <f t="shared" si="3"/>
        <v>0.09618648355616638</v>
      </c>
      <c r="X64" s="150">
        <f t="shared" si="4"/>
        <v>0.007439554784913453</v>
      </c>
    </row>
    <row r="65" spans="17:24" ht="12.75">
      <c r="Q65" s="150">
        <f t="shared" si="0"/>
        <v>-6.080402010050246</v>
      </c>
      <c r="R65" s="150">
        <f t="shared" si="1"/>
        <v>0.002199584032440247</v>
      </c>
      <c r="S65" s="150">
        <f t="shared" si="2"/>
        <v>0.1775774411873968</v>
      </c>
      <c r="V65" s="150">
        <f t="shared" si="5"/>
        <v>-2.211055276381931</v>
      </c>
      <c r="W65" s="150">
        <f t="shared" si="3"/>
        <v>0.09899601630905128</v>
      </c>
      <c r="X65" s="150">
        <f t="shared" si="4"/>
        <v>0.008174158692218764</v>
      </c>
    </row>
    <row r="66" spans="17:24" ht="12.75">
      <c r="Q66" s="150">
        <f t="shared" si="0"/>
        <v>-5.984924623115573</v>
      </c>
      <c r="R66" s="150">
        <f t="shared" si="1"/>
        <v>0.0025301379827976653</v>
      </c>
      <c r="S66" s="150">
        <f t="shared" si="2"/>
        <v>0.18119647933366406</v>
      </c>
      <c r="V66" s="150">
        <f t="shared" si="5"/>
        <v>-2.0854271356784135</v>
      </c>
      <c r="W66" s="150">
        <f t="shared" si="3"/>
        <v>0.10172567463096208</v>
      </c>
      <c r="X66" s="150">
        <f t="shared" si="4"/>
        <v>0.00896702483961424</v>
      </c>
    </row>
    <row r="67" spans="17:24" ht="12.75">
      <c r="Q67" s="150">
        <f t="shared" si="0"/>
        <v>-5.889447236180899</v>
      </c>
      <c r="R67" s="150">
        <f t="shared" si="1"/>
        <v>0.0029039259050277176</v>
      </c>
      <c r="S67" s="150">
        <f t="shared" si="2"/>
        <v>0.18448004373407</v>
      </c>
      <c r="V67" s="150">
        <f t="shared" si="5"/>
        <v>-1.959798994974896</v>
      </c>
      <c r="W67" s="150">
        <f t="shared" si="3"/>
        <v>0.10436445952486795</v>
      </c>
      <c r="X67" s="150">
        <f t="shared" si="4"/>
        <v>0.009821161897772318</v>
      </c>
    </row>
    <row r="68" spans="17:24" ht="12.75">
      <c r="Q68" s="150">
        <f aca="true" t="shared" si="6" ref="Q68:Q131">Q67+$P$13</f>
        <v>-5.793969849246226</v>
      </c>
      <c r="R68" s="150">
        <f aca="true" t="shared" si="7" ref="R68:R131">NORMDIST(Q68,0,$P$10,0)</f>
        <v>0.0033255580417122744</v>
      </c>
      <c r="S68" s="150">
        <f aca="true" t="shared" si="8" ref="S68:S131">NORMDIST(Q68,$S$2,$P$10,0)</f>
        <v>0.18740738783300886</v>
      </c>
      <c r="V68" s="150">
        <f t="shared" si="5"/>
        <v>-1.8341708542713784</v>
      </c>
      <c r="W68" s="150">
        <f aca="true" t="shared" si="9" ref="W68:W131">NORMDIST(V68,0,$U$10,0)</f>
        <v>0.1069015168273603</v>
      </c>
      <c r="X68" s="150">
        <f aca="true" t="shared" si="10" ref="X68:X131">NORMDIST(V68,$X$2,$U$10,0)</f>
        <v>0.010739561694366446</v>
      </c>
    </row>
    <row r="69" spans="17:24" ht="12.75">
      <c r="Q69" s="150">
        <f t="shared" si="6"/>
        <v>-5.6984924623115525</v>
      </c>
      <c r="R69" s="150">
        <f t="shared" si="7"/>
        <v>0.0037999791153157394</v>
      </c>
      <c r="S69" s="150">
        <f t="shared" si="8"/>
        <v>0.18995979764281484</v>
      </c>
      <c r="V69" s="150">
        <f aca="true" t="shared" si="11" ref="V69:V132">V68+$U$13</f>
        <v>-1.7085427135678608</v>
      </c>
      <c r="W69" s="150">
        <f t="shared" si="9"/>
        <v>0.10932621083239924</v>
      </c>
      <c r="X69" s="150">
        <f t="shared" si="10"/>
        <v>0.011725177706183096</v>
      </c>
    </row>
    <row r="70" spans="17:24" ht="12.75">
      <c r="Q70" s="150">
        <f t="shared" si="6"/>
        <v>-5.603015075376879</v>
      </c>
      <c r="R70" s="150">
        <f t="shared" si="7"/>
        <v>0.0043324699980455605</v>
      </c>
      <c r="S70" s="150">
        <f t="shared" si="8"/>
        <v>0.1921207908749861</v>
      </c>
      <c r="V70" s="150">
        <f t="shared" si="11"/>
        <v>-1.5829145728643432</v>
      </c>
      <c r="W70" s="150">
        <f t="shared" si="9"/>
        <v>0.11162819800697886</v>
      </c>
      <c r="X70" s="150">
        <f t="shared" si="10"/>
        <v>0.012780901841391802</v>
      </c>
    </row>
    <row r="71" spans="17:24" ht="12.75">
      <c r="Q71" s="150">
        <f t="shared" si="6"/>
        <v>-5.507537688442206</v>
      </c>
      <c r="R71" s="150">
        <f t="shared" si="7"/>
        <v>0.00492864564388606</v>
      </c>
      <c r="S71" s="150">
        <f t="shared" si="8"/>
        <v>0.19387629414802382</v>
      </c>
      <c r="V71" s="150">
        <f t="shared" si="11"/>
        <v>-1.4572864321608257</v>
      </c>
      <c r="W71" s="150">
        <f t="shared" si="9"/>
        <v>0.11379750009012443</v>
      </c>
      <c r="X71" s="150">
        <f t="shared" si="10"/>
        <v>0.013909539583601634</v>
      </c>
    </row>
    <row r="72" spans="17:24" ht="12.75">
      <c r="Q72" s="150">
        <f t="shared" si="6"/>
        <v>-5.412060301507532</v>
      </c>
      <c r="R72" s="150">
        <f t="shared" si="7"/>
        <v>0.005594448779539601</v>
      </c>
      <c r="S72" s="150">
        <f t="shared" si="8"/>
        <v>0.19521479560735017</v>
      </c>
      <c r="V72" s="150">
        <f t="shared" si="11"/>
        <v>-1.331658291457308</v>
      </c>
      <c r="W72" s="150">
        <f t="shared" si="9"/>
        <v>0.11582457585693402</v>
      </c>
      <c r="X72" s="150">
        <f t="shared" si="10"/>
        <v>0.015113783594996268</v>
      </c>
    </row>
    <row r="73" spans="17:24" ht="12.75">
      <c r="Q73" s="150">
        <f t="shared" si="6"/>
        <v>-5.316582914572859</v>
      </c>
      <c r="R73" s="150">
        <f t="shared" si="7"/>
        <v>0.006336138850079109</v>
      </c>
      <c r="S73" s="150">
        <f t="shared" si="8"/>
        <v>0.19612747064220504</v>
      </c>
      <c r="V73" s="150">
        <f t="shared" si="11"/>
        <v>-1.2060301507537905</v>
      </c>
      <c r="W73" s="150">
        <f t="shared" si="9"/>
        <v>0.1177003908286809</v>
      </c>
      <c r="X73" s="150">
        <f t="shared" si="10"/>
        <v>0.016396185902565693</v>
      </c>
    </row>
    <row r="74" spans="17:24" ht="12.75">
      <c r="Q74" s="150">
        <f t="shared" si="6"/>
        <v>-5.221105527638185</v>
      </c>
      <c r="R74" s="150">
        <f t="shared" si="7"/>
        <v>0.007160275723575071</v>
      </c>
      <c r="S74" s="150">
        <f t="shared" si="8"/>
        <v>0.19660827877897058</v>
      </c>
      <c r="V74" s="150">
        <f t="shared" si="11"/>
        <v>-1.080402010050273</v>
      </c>
      <c r="W74" s="150">
        <f t="shared" si="9"/>
        <v>0.11941648421850438</v>
      </c>
      <c r="X74" s="150">
        <f t="shared" si="10"/>
        <v>0.01775912881893748</v>
      </c>
    </row>
    <row r="75" spans="17:24" ht="12.75">
      <c r="Q75" s="150">
        <f t="shared" si="6"/>
        <v>-5.125628140703512</v>
      </c>
      <c r="R75" s="150">
        <f t="shared" si="7"/>
        <v>0.008073697677930822</v>
      </c>
      <c r="S75" s="150">
        <f t="shared" si="8"/>
        <v>0.19665403026261485</v>
      </c>
      <c r="V75" s="150">
        <f t="shared" si="11"/>
        <v>-0.9547738693467553</v>
      </c>
      <c r="W75" s="150">
        <f t="shared" si="9"/>
        <v>0.12096503242000373</v>
      </c>
      <c r="X75" s="150">
        <f t="shared" si="10"/>
        <v>0.019204794777212493</v>
      </c>
    </row>
    <row r="76" spans="17:24" ht="12.75">
      <c r="Q76" s="150">
        <f t="shared" si="6"/>
        <v>-5.030150753768838</v>
      </c>
      <c r="R76" s="150">
        <f t="shared" si="7"/>
        <v>0.009083493223670304</v>
      </c>
      <c r="S76" s="150">
        <f t="shared" si="8"/>
        <v>0.19626442129955726</v>
      </c>
      <c r="V76" s="150">
        <f t="shared" si="11"/>
        <v>-0.8291457286432378</v>
      </c>
      <c r="W76" s="150">
        <f t="shared" si="9"/>
        <v>0.12233890837302373</v>
      </c>
      <c r="X76" s="150">
        <f t="shared" si="10"/>
        <v>0.020735135287150253</v>
      </c>
    </row>
    <row r="77" spans="17:24" ht="12.75">
      <c r="Q77" s="150">
        <f t="shared" si="6"/>
        <v>-4.934673366834165</v>
      </c>
      <c r="R77" s="150">
        <f t="shared" si="7"/>
        <v>0.010196966359368446</v>
      </c>
      <c r="S77" s="150">
        <f t="shared" si="8"/>
        <v>0.1954420374172118</v>
      </c>
      <c r="V77" s="150">
        <f t="shared" si="11"/>
        <v>-0.7035175879397202</v>
      </c>
      <c r="W77" s="150">
        <f t="shared" si="9"/>
        <v>0.12353173617685276</v>
      </c>
      <c r="X77" s="150">
        <f t="shared" si="10"/>
        <v>0.022351839247614802</v>
      </c>
    </row>
    <row r="78" spans="17:24" ht="12.75">
      <c r="Q78" s="150">
        <f t="shared" si="6"/>
        <v>-4.8391959798994915</v>
      </c>
      <c r="R78" s="150">
        <f t="shared" si="7"/>
        <v>0.01142159491251795</v>
      </c>
      <c r="S78" s="150">
        <f t="shared" si="8"/>
        <v>0.19419232488823324</v>
      </c>
      <c r="V78" s="150">
        <f t="shared" si="11"/>
        <v>-0.5778894472362026</v>
      </c>
      <c r="W78" s="150">
        <f t="shared" si="9"/>
        <v>0.12453794036556304</v>
      </c>
      <c r="X78" s="150">
        <f t="shared" si="10"/>
        <v>0.02405630087694164</v>
      </c>
    </row>
    <row r="79" spans="17:24" ht="12.75">
      <c r="Q79" s="150">
        <f t="shared" si="6"/>
        <v>-4.743718592964818</v>
      </c>
      <c r="R79" s="150">
        <f t="shared" si="7"/>
        <v>0.01276498168839384</v>
      </c>
      <c r="S79" s="150">
        <f t="shared" si="8"/>
        <v>0.19252353066129516</v>
      </c>
      <c r="V79" s="150">
        <f t="shared" si="11"/>
        <v>-0.45226130653268504</v>
      </c>
      <c r="W79" s="150">
        <f t="shared" si="9"/>
        <v>0.12535278931278776</v>
      </c>
      <c r="X79" s="150">
        <f t="shared" si="10"/>
        <v>0.02584958754835595</v>
      </c>
    </row>
    <row r="80" spans="17:24" ht="12.75">
      <c r="Q80" s="150">
        <f t="shared" si="6"/>
        <v>-4.648241206030145</v>
      </c>
      <c r="R80" s="150">
        <f t="shared" si="7"/>
        <v>0.014234798233160366</v>
      </c>
      <c r="S80" s="150">
        <f t="shared" si="8"/>
        <v>0.1904466117252553</v>
      </c>
      <c r="V80" s="150">
        <f t="shared" si="11"/>
        <v>-0.32663316582916746</v>
      </c>
      <c r="W80" s="150">
        <f t="shared" si="9"/>
        <v>0.12597243229319258</v>
      </c>
      <c r="X80" s="150">
        <f t="shared" si="10"/>
        <v>0.027732407841279814</v>
      </c>
    </row>
    <row r="81" spans="17:24" ht="12.75">
      <c r="Q81" s="150">
        <f t="shared" si="6"/>
        <v>-4.552763819095471</v>
      </c>
      <c r="R81" s="150">
        <f t="shared" si="7"/>
        <v>0.0158387211150187</v>
      </c>
      <c r="S81" s="150">
        <f t="shared" si="8"/>
        <v>0.1879751153002157</v>
      </c>
      <c r="V81" s="150">
        <f t="shared" si="11"/>
        <v>-0.20100502512564988</v>
      </c>
      <c r="W81" s="150">
        <f t="shared" si="9"/>
        <v>0.12639392979447717</v>
      </c>
      <c r="X81" s="150">
        <f t="shared" si="10"/>
        <v>0.029705080140822685</v>
      </c>
    </row>
    <row r="82" spans="17:24" ht="12.75">
      <c r="Q82" s="150">
        <f t="shared" si="6"/>
        <v>-4.457286432160798</v>
      </c>
      <c r="R82" s="150">
        <f t="shared" si="7"/>
        <v>0.017584360738246343</v>
      </c>
      <c r="S82" s="150">
        <f t="shared" si="8"/>
        <v>0.18512503168811356</v>
      </c>
      <c r="V82" s="150">
        <f t="shared" si="11"/>
        <v>-0.0753768844221323</v>
      </c>
      <c r="W82" s="150">
        <f t="shared" si="9"/>
        <v>0.12661527674604064</v>
      </c>
      <c r="X82" s="150">
        <f t="shared" si="10"/>
        <v>0.0317675021364617</v>
      </c>
    </row>
    <row r="83" spans="17:24" ht="12.75">
      <c r="Q83" s="150">
        <f t="shared" si="6"/>
        <v>-4.361809045226124</v>
      </c>
      <c r="R83" s="150">
        <f t="shared" si="7"/>
        <v>0.01947918282879455</v>
      </c>
      <c r="S83" s="150">
        <f t="shared" si="8"/>
        <v>0.18191462201858952</v>
      </c>
      <c r="V83" s="150">
        <f t="shared" si="11"/>
        <v>0.05025125628138527</v>
      </c>
      <c r="W83" s="150">
        <f t="shared" si="9"/>
        <v>0.12663541840746773</v>
      </c>
      <c r="X83" s="150">
        <f t="shared" si="10"/>
        <v>0.033919121586404366</v>
      </c>
    </row>
    <row r="84" spans="17:24" ht="12.75">
      <c r="Q84" s="150">
        <f t="shared" si="6"/>
        <v>-4.266331658291451</v>
      </c>
      <c r="R84" s="150">
        <f t="shared" si="7"/>
        <v>0.02153042286557191</v>
      </c>
      <c r="S84" s="150">
        <f t="shared" si="8"/>
        <v>0.17836422348536027</v>
      </c>
      <c r="V84" s="150">
        <f t="shared" si="11"/>
        <v>0.17587939698490285</v>
      </c>
      <c r="W84" s="150">
        <f t="shared" si="9"/>
        <v>0.1264542587406655</v>
      </c>
      <c r="X84" s="150">
        <f t="shared" si="10"/>
        <v>0.036158908725917205</v>
      </c>
    </row>
    <row r="85" spans="17:24" ht="12.75">
      <c r="Q85" s="150">
        <f t="shared" si="6"/>
        <v>-4.170854271356777</v>
      </c>
      <c r="R85" s="150">
        <f t="shared" si="7"/>
        <v>0.023744993877131505</v>
      </c>
      <c r="S85" s="150">
        <f t="shared" si="8"/>
        <v>0.174496034977572</v>
      </c>
      <c r="V85" s="150">
        <f t="shared" si="11"/>
        <v>0.3015075376884204</v>
      </c>
      <c r="W85" s="150">
        <f t="shared" si="9"/>
        <v>0.12607266117266272</v>
      </c>
      <c r="X85" s="150">
        <f t="shared" si="10"/>
        <v>0.038485330705562926</v>
      </c>
    </row>
    <row r="86" spans="17:24" ht="12.75">
      <c r="Q86" s="150">
        <f t="shared" si="6"/>
        <v>-4.075376884422104</v>
      </c>
      <c r="R86" s="150">
        <f t="shared" si="7"/>
        <v>0.026129388177271524</v>
      </c>
      <c r="S86" s="150">
        <f t="shared" si="8"/>
        <v>0.17033388626425316</v>
      </c>
      <c r="V86" s="150">
        <f t="shared" si="11"/>
        <v>0.427135678391938</v>
      </c>
      <c r="W86" s="150">
        <f t="shared" si="9"/>
        <v>0.12549244174059457</v>
      </c>
      <c r="X86" s="150">
        <f t="shared" si="10"/>
        <v>0.04089632844840891</v>
      </c>
    </row>
    <row r="87" spans="17:24" ht="12.75">
      <c r="Q87" s="150">
        <f t="shared" si="6"/>
        <v>-3.9798994974874304</v>
      </c>
      <c r="R87" s="150">
        <f t="shared" si="7"/>
        <v>0.028689573772727413</v>
      </c>
      <c r="S87" s="150">
        <f t="shared" si="8"/>
        <v>0.16590299408390333</v>
      </c>
      <c r="V87" s="150">
        <f t="shared" si="11"/>
        <v>0.5527638190954556</v>
      </c>
      <c r="W87" s="150">
        <f t="shared" si="9"/>
        <v>0.12471635469502562</v>
      </c>
      <c r="X87" s="150">
        <f t="shared" si="10"/>
        <v>0.04338929631349733</v>
      </c>
    </row>
    <row r="88" spans="17:24" ht="12.75">
      <c r="Q88" s="150">
        <f t="shared" si="6"/>
        <v>-3.884422110552757</v>
      </c>
      <c r="R88" s="150">
        <f t="shared" si="7"/>
        <v>0.03143088633896375</v>
      </c>
      <c r="S88" s="150">
        <f t="shared" si="8"/>
        <v>0.16122970862274427</v>
      </c>
      <c r="V88" s="150">
        <f t="shared" si="11"/>
        <v>0.6783919597989732</v>
      </c>
      <c r="W88" s="150">
        <f t="shared" si="9"/>
        <v>0.12374807072130908</v>
      </c>
      <c r="X88" s="150">
        <f t="shared" si="10"/>
        <v>0.04596106494589934</v>
      </c>
    </row>
    <row r="89" spans="17:24" ht="12.75">
      <c r="Q89" s="150">
        <f t="shared" si="6"/>
        <v>-3.7889447236180835</v>
      </c>
      <c r="R89" s="150">
        <f t="shared" si="7"/>
        <v>0.034357917822993383</v>
      </c>
      <c r="S89" s="150">
        <f t="shared" si="8"/>
        <v>0.15634125393291026</v>
      </c>
      <c r="V89" s="150">
        <f t="shared" si="11"/>
        <v>0.8040201005024907</v>
      </c>
      <c r="W89" s="150">
        <f t="shared" si="9"/>
        <v>0.12259214801994617</v>
      </c>
      <c r="X89" s="150">
        <f t="shared" si="10"/>
        <v>0.048607887681278224</v>
      </c>
    </row>
    <row r="90" spans="17:24" ht="12.75">
      <c r="Q90" s="150">
        <f t="shared" si="6"/>
        <v>-3.69346733668341</v>
      </c>
      <c r="R90" s="150">
        <f t="shared" si="7"/>
        <v>0.037474402891769225</v>
      </c>
      <c r="S90" s="150">
        <f t="shared" si="8"/>
        <v>0.15126546584598602</v>
      </c>
      <c r="V90" s="150">
        <f t="shared" si="11"/>
        <v>0.9296482412060083</v>
      </c>
      <c r="W90" s="150">
        <f t="shared" si="9"/>
        <v>0.12125399656475298</v>
      </c>
      <c r="X90" s="150">
        <f t="shared" si="10"/>
        <v>0.05132543085489694</v>
      </c>
    </row>
    <row r="91" spans="17:24" ht="12.75">
      <c r="Q91" s="150">
        <f t="shared" si="6"/>
        <v>-3.5979899497487366</v>
      </c>
      <c r="R91" s="150">
        <f t="shared" si="7"/>
        <v>0.04078310459735773</v>
      </c>
      <c r="S91" s="150">
        <f t="shared" si="8"/>
        <v>0.1460305308793197</v>
      </c>
      <c r="V91" s="150">
        <f t="shared" si="11"/>
        <v>1.0552763819095259</v>
      </c>
      <c r="W91" s="150">
        <f t="shared" si="9"/>
        <v>0.11973983593096549</v>
      </c>
      <c r="X91" s="150">
        <f t="shared" si="10"/>
        <v>0.0541087683413432</v>
      </c>
    </row>
    <row r="92" spans="17:24" ht="12.75">
      <c r="Q92" s="150">
        <f t="shared" si="6"/>
        <v>-3.502512562814063</v>
      </c>
      <c r="R92" s="150">
        <f t="shared" si="7"/>
        <v>0.04428570077196183</v>
      </c>
      <c r="S92" s="150">
        <f t="shared" si="8"/>
        <v>0.14066472951525358</v>
      </c>
      <c r="V92" s="150">
        <f t="shared" si="11"/>
        <v>1.1809045226130435</v>
      </c>
      <c r="W92" s="150">
        <f t="shared" si="9"/>
        <v>0.11805664715321243</v>
      </c>
      <c r="X92" s="150">
        <f t="shared" si="10"/>
        <v>0.05695238062191844</v>
      </c>
    </row>
    <row r="93" spans="17:24" ht="12.75">
      <c r="Q93" s="150">
        <f t="shared" si="6"/>
        <v>-3.4070351758793898</v>
      </c>
      <c r="R93" s="150">
        <f t="shared" si="7"/>
        <v>0.04798267279294829</v>
      </c>
      <c r="S93" s="150">
        <f t="shared" si="8"/>
        <v>0.13519618706086275</v>
      </c>
      <c r="V93" s="150">
        <f t="shared" si="11"/>
        <v>1.306532663316561</v>
      </c>
      <c r="W93" s="150">
        <f t="shared" si="9"/>
        <v>0.11621211913463705</v>
      </c>
      <c r="X93" s="150">
        <f t="shared" si="10"/>
        <v>0.05985015864174541</v>
      </c>
    </row>
    <row r="94" spans="17:24" ht="12.75">
      <c r="Q94" s="150">
        <f t="shared" si="6"/>
        <v>-3.3115577889447163</v>
      </c>
      <c r="R94" s="150">
        <f t="shared" si="7"/>
        <v>0.051873198466354103</v>
      </c>
      <c r="S94" s="150">
        <f t="shared" si="8"/>
        <v>0.12965263507307367</v>
      </c>
      <c r="V94" s="150">
        <f t="shared" si="11"/>
        <v>1.4321608040200786</v>
      </c>
      <c r="W94" s="150">
        <f t="shared" si="9"/>
        <v>0.11421459018255031</v>
      </c>
      <c r="X94" s="150">
        <f t="shared" si="10"/>
        <v>0.06279541267838998</v>
      </c>
    </row>
    <row r="95" spans="17:24" ht="12.75">
      <c r="Q95" s="150">
        <f t="shared" si="6"/>
        <v>-3.216080402010043</v>
      </c>
      <c r="R95" s="150">
        <f t="shared" si="7"/>
        <v>0.05595505086297563</v>
      </c>
      <c r="S95" s="150">
        <f t="shared" si="8"/>
        <v>0.1240611860671838</v>
      </c>
      <c r="V95" s="150">
        <f t="shared" si="11"/>
        <v>1.5577889447235962</v>
      </c>
      <c r="W95" s="150">
        <f t="shared" si="9"/>
        <v>0.11207298529216464</v>
      </c>
      <c r="X95" s="150">
        <f t="shared" si="10"/>
        <v>0.06578088639846004</v>
      </c>
    </row>
    <row r="96" spans="17:24" ht="12.75">
      <c r="Q96" s="150">
        <f t="shared" si="6"/>
        <v>-3.1206030150753694</v>
      </c>
      <c r="R96" s="150">
        <f t="shared" si="7"/>
        <v>0.060224505000333835</v>
      </c>
      <c r="S96" s="150">
        <f t="shared" si="8"/>
        <v>0.11844812392260075</v>
      </c>
      <c r="V96" s="150">
        <f t="shared" si="11"/>
        <v>1.6834170854271138</v>
      </c>
      <c r="W96" s="150">
        <f t="shared" si="9"/>
        <v>0.10979674983763946</v>
      </c>
      <c r="X96" s="150">
        <f t="shared" si="10"/>
        <v>0.06879877622863474</v>
      </c>
    </row>
    <row r="97" spans="17:24" ht="12.75">
      <c r="Q97" s="150">
        <f t="shared" si="6"/>
        <v>-3.025125628140696</v>
      </c>
      <c r="R97" s="150">
        <f t="shared" si="7"/>
        <v>0.06467625429310102</v>
      </c>
      <c r="S97" s="150">
        <f t="shared" si="8"/>
        <v>0.11283871206540237</v>
      </c>
      <c r="V97" s="150">
        <f t="shared" si="11"/>
        <v>1.8090452261306313</v>
      </c>
      <c r="W97" s="150">
        <f t="shared" si="9"/>
        <v>0.10739578035845902</v>
      </c>
      <c r="X97" s="150">
        <f t="shared" si="10"/>
        <v>0.07184075611337833</v>
      </c>
    </row>
    <row r="98" spans="17:24" ht="12.75">
      <c r="Q98" s="150">
        <f t="shared" si="6"/>
        <v>-2.9296482412060225</v>
      </c>
      <c r="R98" s="150">
        <f t="shared" si="7"/>
        <v>0.06930333869090477</v>
      </c>
      <c r="S98" s="150">
        <f t="shared" si="8"/>
        <v>0.10725702115079772</v>
      </c>
      <c r="V98" s="150">
        <f t="shared" si="11"/>
        <v>1.934673366834149</v>
      </c>
      <c r="W98" s="150">
        <f t="shared" si="9"/>
        <v>0.10488035314879898</v>
      </c>
      <c r="X98" s="150">
        <f t="shared" si="10"/>
        <v>0.07489800767379089</v>
      </c>
    </row>
    <row r="99" spans="17:24" ht="12.75">
      <c r="Q99" s="150">
        <f t="shared" si="6"/>
        <v>-2.834170854271349</v>
      </c>
      <c r="R99" s="150">
        <f t="shared" si="7"/>
        <v>0.07409708638324412</v>
      </c>
      <c r="S99" s="150">
        <f t="shared" si="8"/>
        <v>0.10172577759761017</v>
      </c>
      <c r="V99" s="150">
        <f t="shared" si="11"/>
        <v>2.0603015075376665</v>
      </c>
      <c r="W99" s="150">
        <f t="shared" si="9"/>
        <v>0.10226105136790349</v>
      </c>
      <c r="X99" s="150">
        <f t="shared" si="10"/>
        <v>0.07796125572131318</v>
      </c>
    </row>
    <row r="100" spans="17:24" ht="12.75">
      <c r="Q100" s="150">
        <f t="shared" si="6"/>
        <v>-2.7386934673366756</v>
      </c>
      <c r="R100" s="150">
        <f t="shared" si="7"/>
        <v>0.07904707087461715</v>
      </c>
      <c r="S100" s="150">
        <f t="shared" si="8"/>
        <v>0.0962662339493561</v>
      </c>
      <c r="V100" s="150">
        <f t="shared" si="11"/>
        <v>2.185929648241184</v>
      </c>
      <c r="W100" s="150">
        <f t="shared" si="9"/>
        <v>0.09954869139062913</v>
      </c>
      <c r="X100" s="150">
        <f t="shared" si="10"/>
        <v>0.08102080901708482</v>
      </c>
    </row>
    <row r="101" spans="17:24" ht="12.75">
      <c r="Q101" s="150">
        <f t="shared" si="6"/>
        <v>-2.643216080402002</v>
      </c>
      <c r="R101" s="150">
        <f t="shared" si="7"/>
        <v>0.0841410851176467</v>
      </c>
      <c r="S101" s="150">
        <f t="shared" si="8"/>
        <v>0.09089806165998728</v>
      </c>
      <c r="V101" s="150">
        <f t="shared" si="11"/>
        <v>2.3115577889447017</v>
      </c>
      <c r="W101" s="150">
        <f t="shared" si="9"/>
        <v>0.09675424910938743</v>
      </c>
      <c r="X101" s="150">
        <f t="shared" si="10"/>
        <v>0.08406660610347556</v>
      </c>
    </row>
    <row r="102" spans="17:24" ht="12.75">
      <c r="Q102" s="150">
        <f t="shared" si="6"/>
        <v>-2.5477386934673287</v>
      </c>
      <c r="R102" s="150">
        <f t="shared" si="7"/>
        <v>0.0893651342375591</v>
      </c>
      <c r="S102" s="150">
        <f t="shared" si="8"/>
        <v>0.0856392665341523</v>
      </c>
      <c r="V102" s="150">
        <f t="shared" si="11"/>
        <v>2.4371859296482192</v>
      </c>
      <c r="W102" s="150">
        <f t="shared" si="9"/>
        <v>0.09388878688205844</v>
      </c>
      <c r="X102" s="150">
        <f t="shared" si="10"/>
        <v>0.08708826596954669</v>
      </c>
    </row>
    <row r="103" spans="17:24" ht="12.75">
      <c r="Q103" s="150">
        <f t="shared" si="6"/>
        <v>-2.4522613065326553</v>
      </c>
      <c r="R103" s="150">
        <f t="shared" si="7"/>
        <v>0.09470344818825444</v>
      </c>
      <c r="S103" s="150">
        <f t="shared" si="8"/>
        <v>0.08050612669862389</v>
      </c>
      <c r="V103" s="150">
        <f t="shared" si="11"/>
        <v>2.562814070351737</v>
      </c>
      <c r="W103" s="150">
        <f t="shared" si="9"/>
        <v>0.09096338179549195</v>
      </c>
      <c r="X103" s="150">
        <f t="shared" si="10"/>
        <v>0.09007514324787615</v>
      </c>
    </row>
    <row r="104" spans="17:24" ht="12.75">
      <c r="Q104" s="150">
        <f t="shared" si="6"/>
        <v>-2.356783919597982</v>
      </c>
      <c r="R104" s="150">
        <f t="shared" si="7"/>
        <v>0.10013851544974355</v>
      </c>
      <c r="S104" s="150">
        <f t="shared" si="8"/>
        <v>0.07551315264938083</v>
      </c>
      <c r="V104" s="150">
        <f t="shared" si="11"/>
        <v>2.6884422110552544</v>
      </c>
      <c r="W104" s="150">
        <f t="shared" si="9"/>
        <v>0.08798905588153261</v>
      </c>
      <c r="X104" s="150">
        <f t="shared" si="10"/>
        <v>0.09301638757725396</v>
      </c>
    </row>
    <row r="105" spans="17:24" ht="12.75">
      <c r="Q105" s="150">
        <f t="shared" si="6"/>
        <v>-2.2613065326633084</v>
      </c>
      <c r="R105" s="150">
        <f t="shared" si="7"/>
        <v>0.10565113861119804</v>
      </c>
      <c r="S105" s="150">
        <f t="shared" si="8"/>
        <v>0.07067306861299467</v>
      </c>
      <c r="V105" s="150">
        <f t="shared" si="11"/>
        <v>2.814070351758772</v>
      </c>
      <c r="W105" s="150">
        <f t="shared" si="9"/>
        <v>0.08497670888276683</v>
      </c>
      <c r="X105" s="150">
        <f t="shared" si="10"/>
        <v>0.09590100670518976</v>
      </c>
    </row>
    <row r="106" spans="17:24" ht="12.75">
      <c r="Q106" s="150">
        <f t="shared" si="6"/>
        <v>-2.165829145728635</v>
      </c>
      <c r="R106" s="150">
        <f t="shared" si="7"/>
        <v>0.11122051238649568</v>
      </c>
      <c r="S106" s="150">
        <f t="shared" si="8"/>
        <v>0.06599681418586245</v>
      </c>
      <c r="V106" s="150">
        <f t="shared" si="11"/>
        <v>2.9396984924622895</v>
      </c>
      <c r="W106" s="150">
        <f t="shared" si="9"/>
        <v>0.08193705411915742</v>
      </c>
      <c r="X106" s="150">
        <f t="shared" si="10"/>
        <v>0.09871793284694236</v>
      </c>
    </row>
    <row r="107" spans="17:24" ht="12.75">
      <c r="Q107" s="150">
        <f t="shared" si="6"/>
        <v>-2.0703517587939615</v>
      </c>
      <c r="R107" s="150">
        <f t="shared" si="7"/>
        <v>0.11682432428409141</v>
      </c>
      <c r="S107" s="150">
        <f t="shared" si="8"/>
        <v>0.06149356497394457</v>
      </c>
      <c r="V107" s="150">
        <f t="shared" si="11"/>
        <v>3.065326633165807</v>
      </c>
      <c r="W107" s="150">
        <f t="shared" si="9"/>
        <v>0.07888055795524376</v>
      </c>
      <c r="X107" s="150">
        <f t="shared" si="10"/>
        <v>0.10145609176482887</v>
      </c>
    </row>
    <row r="108" spans="17:24" ht="12.75">
      <c r="Q108" s="150">
        <f t="shared" si="6"/>
        <v>-1.974874371859288</v>
      </c>
      <c r="R108" s="150">
        <f t="shared" si="7"/>
        <v>0.12243887780533579</v>
      </c>
      <c r="S108" s="150">
        <f t="shared" si="8"/>
        <v>0.05717077075157097</v>
      </c>
      <c r="V108" s="150">
        <f t="shared" si="11"/>
        <v>3.1909547738693247</v>
      </c>
      <c r="W108" s="150">
        <f t="shared" si="9"/>
        <v>0.07581738331154056</v>
      </c>
      <c r="X108" s="150">
        <f t="shared" si="10"/>
        <v>0.10410447398380945</v>
      </c>
    </row>
    <row r="109" spans="17:24" ht="12.75">
      <c r="Q109" s="150">
        <f t="shared" si="6"/>
        <v>-1.8793969849246146</v>
      </c>
      <c r="R109" s="150">
        <f t="shared" si="7"/>
        <v>0.12803923768082648</v>
      </c>
      <c r="S109" s="150">
        <f t="shared" si="8"/>
        <v>0.05303420949217482</v>
      </c>
      <c r="V109" s="150">
        <f t="shared" si="11"/>
        <v>3.3165829145728423</v>
      </c>
      <c r="W109" s="150">
        <f t="shared" si="9"/>
        <v>0.07275733760410152</v>
      </c>
      <c r="X109" s="150">
        <f t="shared" si="10"/>
        <v>0.10665220751763317</v>
      </c>
    </row>
    <row r="110" spans="17:24" ht="12.75">
      <c r="Q110" s="150">
        <f t="shared" si="6"/>
        <v>-1.7839195979899412</v>
      </c>
      <c r="R110" s="150">
        <f t="shared" si="7"/>
        <v>0.13359939627954667</v>
      </c>
      <c r="S110" s="150">
        <f t="shared" si="8"/>
        <v>0.04908805549719415</v>
      </c>
      <c r="V110" s="150">
        <f t="shared" si="11"/>
        <v>3.44221105527636</v>
      </c>
      <c r="W110" s="150">
        <f t="shared" si="9"/>
        <v>0.06970982543389645</v>
      </c>
      <c r="X110" s="150">
        <f t="shared" si="10"/>
        <v>0.10908863144495468</v>
      </c>
    </row>
    <row r="111" spans="17:24" ht="12.75">
      <c r="Q111" s="150">
        <f t="shared" si="6"/>
        <v>-1.6884422110552677</v>
      </c>
      <c r="R111" s="150">
        <f t="shared" si="7"/>
        <v>0.13909245994752814</v>
      </c>
      <c r="S111" s="150">
        <f t="shared" si="8"/>
        <v>0.04533495976165275</v>
      </c>
      <c r="V111" s="150">
        <f t="shared" si="11"/>
        <v>3.5678391959798774</v>
      </c>
      <c r="W111" s="150">
        <f t="shared" si="9"/>
        <v>0.06668380628364222</v>
      </c>
      <c r="X111" s="150">
        <f t="shared" si="10"/>
        <v>0.11140336964749477</v>
      </c>
    </row>
    <row r="112" spans="17:24" ht="12.75">
      <c r="Q112" s="150">
        <f t="shared" si="6"/>
        <v>-1.5929648241205943</v>
      </c>
      <c r="R112" s="150">
        <f t="shared" si="7"/>
        <v>0.14449085365911127</v>
      </c>
      <c r="S112" s="150">
        <f t="shared" si="8"/>
        <v>0.04177614066508794</v>
      </c>
      <c r="V112" s="150">
        <f t="shared" si="11"/>
        <v>3.693467336683395</v>
      </c>
      <c r="W112" s="150">
        <f t="shared" si="9"/>
        <v>0.06368775741500095</v>
      </c>
      <c r="X112" s="150">
        <f t="shared" si="10"/>
        <v>0.11358640400311285</v>
      </c>
    </row>
    <row r="113" spans="17:24" ht="12.75">
      <c r="Q113" s="150">
        <f t="shared" si="6"/>
        <v>-1.4974874371859208</v>
      </c>
      <c r="R113" s="150">
        <f t="shared" si="7"/>
        <v>0.14976654200236655</v>
      </c>
      <c r="S113" s="150">
        <f t="shared" si="8"/>
        <v>0.03841148306279044</v>
      </c>
      <c r="V113" s="150">
        <f t="shared" si="11"/>
        <v>3.8190954773869126</v>
      </c>
      <c r="W113" s="150">
        <f t="shared" si="9"/>
        <v>0.06072964209453788</v>
      </c>
      <c r="X113" s="150">
        <f t="shared" si="10"/>
        <v>0.11562814631607546</v>
      </c>
    </row>
    <row r="114" spans="17:24" ht="12.75">
      <c r="Q114" s="150">
        <f t="shared" si="6"/>
        <v>-1.4020100502512474</v>
      </c>
      <c r="R114" s="150">
        <f t="shared" si="7"/>
        <v>0.15489126417877003</v>
      </c>
      <c r="S114" s="150">
        <f t="shared" si="8"/>
        <v>0.035239643872373695</v>
      </c>
      <c r="V114" s="150">
        <f t="shared" si="11"/>
        <v>3.94472361809043</v>
      </c>
      <c r="W114" s="150">
        <f t="shared" si="9"/>
        <v>0.05781688321341617</v>
      </c>
      <c r="X114" s="150">
        <f t="shared" si="10"/>
        <v>0.11751950826519328</v>
      </c>
    </row>
    <row r="115" spans="17:24" ht="12.75">
      <c r="Q115" s="150">
        <f t="shared" si="6"/>
        <v>-1.306532663316574</v>
      </c>
      <c r="R115" s="150">
        <f t="shared" si="7"/>
        <v>0.1598367803835685</v>
      </c>
      <c r="S115" s="150">
        <f t="shared" si="8"/>
        <v>0.032258162301574085</v>
      </c>
      <c r="V115" s="150">
        <f t="shared" si="11"/>
        <v>4.070351758793947</v>
      </c>
      <c r="W115" s="150">
        <f t="shared" si="9"/>
        <v>0.054956342304333966</v>
      </c>
      <c r="X115" s="150">
        <f t="shared" si="10"/>
        <v>0.1192519686580841</v>
      </c>
    </row>
    <row r="116" spans="17:24" ht="12.75">
      <c r="Q116" s="150">
        <f t="shared" si="6"/>
        <v>-1.2110552763819005</v>
      </c>
      <c r="R116" s="150">
        <f t="shared" si="7"/>
        <v>0.1645751266548914</v>
      </c>
      <c r="S116" s="150">
        <f t="shared" si="8"/>
        <v>0.02946357294153974</v>
      </c>
      <c r="V116" s="150">
        <f t="shared" si="11"/>
        <v>4.195979899497464</v>
      </c>
      <c r="W116" s="150">
        <f t="shared" si="9"/>
        <v>0.0521543039004508</v>
      </c>
      <c r="X116" s="150">
        <f t="shared" si="10"/>
        <v>0.120817637296677</v>
      </c>
    </row>
    <row r="117" spans="17:24" ht="12.75">
      <c r="Q117" s="150">
        <f t="shared" si="6"/>
        <v>-1.115577889447227</v>
      </c>
      <c r="R117" s="150">
        <f t="shared" si="7"/>
        <v>0.16907887504352673</v>
      </c>
      <c r="S117" s="150">
        <f t="shared" si="8"/>
        <v>0.026851520052020444</v>
      </c>
      <c r="V117" s="150">
        <f t="shared" si="11"/>
        <v>4.3216080402009815</v>
      </c>
      <c r="W117" s="150">
        <f t="shared" si="9"/>
        <v>0.049416465125706105</v>
      </c>
      <c r="X117" s="150">
        <f t="shared" si="10"/>
        <v>0.12220931478513504</v>
      </c>
    </row>
    <row r="118" spans="17:24" ht="12.75">
      <c r="Q118" s="150">
        <f t="shared" si="6"/>
        <v>-1.0201005025125536</v>
      </c>
      <c r="R118" s="150">
        <f t="shared" si="7"/>
        <v>0.1733213957676487</v>
      </c>
      <c r="S118" s="150">
        <f t="shared" si="8"/>
        <v>0.024416871486940127</v>
      </c>
      <c r="V118" s="150">
        <f t="shared" si="11"/>
        <v>4.447236180904499</v>
      </c>
      <c r="W118" s="150">
        <f t="shared" si="9"/>
        <v>0.0467479303546082</v>
      </c>
      <c r="X118" s="150">
        <f t="shared" si="10"/>
        <v>0.12342054764642302</v>
      </c>
    </row>
    <row r="119" spans="17:24" ht="12.75">
      <c r="Q119" s="150">
        <f t="shared" si="6"/>
        <v>-0.9246231155778802</v>
      </c>
      <c r="R119" s="150">
        <f t="shared" si="7"/>
        <v>0.1772771178830525</v>
      </c>
      <c r="S119" s="150">
        <f t="shared" si="8"/>
        <v>0.02215383084683064</v>
      </c>
      <c r="V119" s="150">
        <f t="shared" si="11"/>
        <v>4.572864321608016</v>
      </c>
      <c r="W119" s="150">
        <f t="shared" si="9"/>
        <v>0.04415321073279027</v>
      </c>
      <c r="X119" s="150">
        <f t="shared" si="10"/>
        <v>0.12444567815741751</v>
      </c>
    </row>
    <row r="120" spans="17:24" ht="12.75">
      <c r="Q120" s="150">
        <f t="shared" si="6"/>
        <v>-0.8291457286432069</v>
      </c>
      <c r="R120" s="150">
        <f t="shared" si="7"/>
        <v>0.18092178492397112</v>
      </c>
      <c r="S120" s="150">
        <f t="shared" si="8"/>
        <v>0.02005604659454659</v>
      </c>
      <c r="V120" s="150">
        <f t="shared" si="11"/>
        <v>4.698492462311533</v>
      </c>
      <c r="W120" s="150">
        <f t="shared" si="9"/>
        <v>0.04163622830781151</v>
      </c>
      <c r="X120" s="150">
        <f t="shared" si="10"/>
        <v>0.12527988836424192</v>
      </c>
    </row>
    <row r="121" spans="17:24" ht="12.75">
      <c r="Q121" s="150">
        <f t="shared" si="6"/>
        <v>-0.7336683417085336</v>
      </c>
      <c r="R121" s="150">
        <f t="shared" si="7"/>
        <v>0.1842327019555054</v>
      </c>
      <c r="S121" s="150">
        <f t="shared" si="8"/>
        <v>0.018116717028673263</v>
      </c>
      <c r="V121" s="150">
        <f t="shared" si="11"/>
        <v>4.82412060301505</v>
      </c>
      <c r="W121" s="150">
        <f t="shared" si="9"/>
        <v>0.039200324483154705</v>
      </c>
      <c r="X121" s="150">
        <f t="shared" si="10"/>
        <v>0.12591923779876352</v>
      </c>
    </row>
    <row r="122" spans="17:24" ht="12.75">
      <c r="Q122" s="150">
        <f t="shared" si="6"/>
        <v>-0.6381909547738602</v>
      </c>
      <c r="R122" s="150">
        <f t="shared" si="7"/>
        <v>0.18718897052797284</v>
      </c>
      <c r="S122" s="150">
        <f t="shared" si="8"/>
        <v>0.01632869017136552</v>
      </c>
      <c r="V122" s="150">
        <f t="shared" si="11"/>
        <v>4.949748743718567</v>
      </c>
      <c r="W122" s="150">
        <f t="shared" si="9"/>
        <v>0.03684827247735761</v>
      </c>
      <c r="X122" s="150">
        <f t="shared" si="10"/>
        <v>0.12636069448314455</v>
      </c>
    </row>
    <row r="123" spans="17:24" ht="12.75">
      <c r="Q123" s="150">
        <f t="shared" si="6"/>
        <v>-0.5427135678391869</v>
      </c>
      <c r="R123" s="150">
        <f t="shared" si="7"/>
        <v>0.18977170813660799</v>
      </c>
      <c r="S123" s="150">
        <f t="shared" si="8"/>
        <v>0.014684557790542061</v>
      </c>
      <c r="V123" s="150">
        <f t="shared" si="11"/>
        <v>5.075376884422084</v>
      </c>
      <c r="W123" s="150">
        <f t="shared" si="9"/>
        <v>0.03458229344484946</v>
      </c>
      <c r="X123" s="150">
        <f t="shared" si="10"/>
        <v>0.1266021588811066</v>
      </c>
    </row>
    <row r="124" spans="17:24" ht="12.75">
      <c r="Q124" s="150">
        <f t="shared" si="6"/>
        <v>-0.44723618090451356</v>
      </c>
      <c r="R124" s="150">
        <f t="shared" si="7"/>
        <v>0.1919642489661275</v>
      </c>
      <c r="S124" s="150">
        <f t="shared" si="8"/>
        <v>0.01317674293723729</v>
      </c>
      <c r="V124" s="150">
        <f t="shared" si="11"/>
        <v>5.2010050251256015</v>
      </c>
      <c r="W124" s="150">
        <f t="shared" si="9"/>
        <v>0.03240407589537511</v>
      </c>
      <c r="X124" s="150">
        <f t="shared" si="10"/>
        <v>0.12664248053116525</v>
      </c>
    </row>
    <row r="125" spans="17:24" ht="12.75">
      <c r="Q125" s="150">
        <f t="shared" si="6"/>
        <v>-0.3517587939698402</v>
      </c>
      <c r="R125" s="150">
        <f t="shared" si="7"/>
        <v>0.19375232293640168</v>
      </c>
      <c r="S125" s="150">
        <f t="shared" si="8"/>
        <v>0.01179758053466243</v>
      </c>
      <c r="V125" s="150">
        <f t="shared" si="11"/>
        <v>5.326633165829119</v>
      </c>
      <c r="W125" s="150">
        <f t="shared" si="9"/>
        <v>0.030314798034826864</v>
      </c>
      <c r="X125" s="150">
        <f t="shared" si="10"/>
        <v>0.12648146717744918</v>
      </c>
    </row>
    <row r="126" spans="17:24" ht="12.75">
      <c r="Q126" s="150">
        <f t="shared" si="6"/>
        <v>-0.2562814070351669</v>
      </c>
      <c r="R126" s="150">
        <f t="shared" si="7"/>
        <v>0.19512421035914246</v>
      </c>
      <c r="S126" s="150">
        <f t="shared" si="8"/>
        <v>0.010539390703703915</v>
      </c>
      <c r="V126" s="150">
        <f t="shared" si="11"/>
        <v>5.452261306532636</v>
      </c>
      <c r="W126" s="150">
        <f t="shared" si="9"/>
        <v>0.02831515264172777</v>
      </c>
      <c r="X126" s="150">
        <f t="shared" si="10"/>
        <v>0.12611988629670182</v>
      </c>
    </row>
    <row r="127" spans="17:24" ht="12.75">
      <c r="Q127" s="150">
        <f t="shared" si="6"/>
        <v>-0.16080402010049352</v>
      </c>
      <c r="R127" s="150">
        <f t="shared" si="7"/>
        <v>0.1960708698610955</v>
      </c>
      <c r="S127" s="150">
        <f t="shared" si="8"/>
        <v>0.009394544648152902</v>
      </c>
      <c r="V127" s="150">
        <f t="shared" si="11"/>
        <v>5.577889447236153</v>
      </c>
      <c r="W127" s="150">
        <f t="shared" si="9"/>
        <v>0.026405374090306487</v>
      </c>
      <c r="X127" s="150">
        <f t="shared" si="10"/>
        <v>0.1255594590044953</v>
      </c>
    </row>
    <row r="128" spans="17:24" ht="12.75">
      <c r="Q128" s="150">
        <f t="shared" si="6"/>
        <v>-0.06532663316582016</v>
      </c>
      <c r="R128" s="150">
        <f t="shared" si="7"/>
        <v>0.1965860376204583</v>
      </c>
      <c r="S128" s="150">
        <f t="shared" si="8"/>
        <v>0.008355523050275291</v>
      </c>
      <c r="V128" s="150">
        <f t="shared" si="11"/>
        <v>5.70351758793967</v>
      </c>
      <c r="W128" s="150">
        <f t="shared" si="9"/>
        <v>0.024585267132791168</v>
      </c>
      <c r="X128" s="150">
        <f t="shared" si="10"/>
        <v>0.12480284640835913</v>
      </c>
    </row>
    <row r="129" spans="17:24" ht="12.75">
      <c r="Q129" s="150">
        <f t="shared" si="6"/>
        <v>0.030150753768853206</v>
      </c>
      <c r="R129" s="150">
        <f t="shared" si="7"/>
        <v>0.19666629639279395</v>
      </c>
      <c r="S129" s="150">
        <f t="shared" si="8"/>
        <v>0.007414967042167488</v>
      </c>
      <c r="V129" s="150">
        <f t="shared" si="11"/>
        <v>5.829145728643187</v>
      </c>
      <c r="W129" s="150">
        <f t="shared" si="9"/>
        <v>0.02285423705988575</v>
      </c>
      <c r="X129" s="150">
        <f t="shared" si="10"/>
        <v>0.12385362855923372</v>
      </c>
    </row>
    <row r="130" spans="17:24" ht="12.75">
      <c r="Q130" s="150">
        <f t="shared" si="6"/>
        <v>0.12562814070352657</v>
      </c>
      <c r="R130" s="150">
        <f t="shared" si="7"/>
        <v>0.19631111326231926</v>
      </c>
      <c r="S130" s="150">
        <f t="shared" si="8"/>
        <v>0.006565721919855047</v>
      </c>
      <c r="V130" s="150">
        <f t="shared" si="11"/>
        <v>5.954773869346704</v>
      </c>
      <c r="W130" s="150">
        <f t="shared" si="9"/>
        <v>0.02121132086898819</v>
      </c>
      <c r="X130" s="150">
        <f t="shared" si="10"/>
        <v>0.12271627623420683</v>
      </c>
    </row>
    <row r="131" spans="17:24" ht="12.75">
      <c r="Q131" s="150">
        <f t="shared" si="6"/>
        <v>0.22110552763819993</v>
      </c>
      <c r="R131" s="150">
        <f t="shared" si="7"/>
        <v>0.19552284553512758</v>
      </c>
      <c r="S131" s="150">
        <f t="shared" si="8"/>
        <v>0.005800873854804266</v>
      </c>
      <c r="V131" s="150">
        <f t="shared" si="11"/>
        <v>6.080402010050221</v>
      </c>
      <c r="W131" s="150">
        <f t="shared" si="9"/>
        <v>0.019655219084134402</v>
      </c>
      <c r="X131" s="150">
        <f t="shared" si="10"/>
        <v>0.1213961158617257</v>
      </c>
    </row>
    <row r="132" spans="17:24" ht="12.75">
      <c r="Q132" s="150">
        <f aca="true" t="shared" si="12" ref="Q132:Q195">Q131+$P$13</f>
        <v>0.3165829145728733</v>
      </c>
      <c r="R132" s="150">
        <f aca="true" t="shared" si="13" ref="R132:R195">NORMDIST(Q132,0,$P$10,0)</f>
        <v>0.1943067146831763</v>
      </c>
      <c r="S132" s="150">
        <f aca="true" t="shared" si="14" ref="S132:S195">NORMDIST(Q132,$S$2,$P$10,0)</f>
        <v>0.0051137799312958145</v>
      </c>
      <c r="V132" s="150">
        <f t="shared" si="11"/>
        <v>6.2060301507537385</v>
      </c>
      <c r="W132" s="150">
        <f aca="true" t="shared" si="15" ref="W132:W195">NORMDIST(V132,0,$U$10,0)</f>
        <v>0.018184327889446048</v>
      </c>
      <c r="X132" s="150">
        <f aca="true" t="shared" si="16" ref="X132:X195">NORMDIST(V132,$X$2,$U$10,0)</f>
        <v>0.11989928797430308</v>
      </c>
    </row>
    <row r="133" spans="17:24" ht="12.75">
      <c r="Q133" s="150">
        <f t="shared" si="12"/>
        <v>0.4120603015075467</v>
      </c>
      <c r="R133" s="150">
        <f t="shared" si="13"/>
        <v>0.1926707487419486</v>
      </c>
      <c r="S133" s="150">
        <f t="shared" si="14"/>
        <v>0.004498091898123328</v>
      </c>
      <c r="V133" s="150">
        <f aca="true" t="shared" si="17" ref="V133:V196">V132+$U$13</f>
        <v>6.331658291457256</v>
      </c>
      <c r="W133" s="150">
        <f t="shared" si="15"/>
        <v>0.016796771258544355</v>
      </c>
      <c r="X133" s="150">
        <f t="shared" si="16"/>
        <v>0.11823269964212946</v>
      </c>
    </row>
    <row r="134" spans="17:24" ht="12.75">
      <c r="Q134" s="150">
        <f t="shared" si="12"/>
        <v>0.50753768844222</v>
      </c>
      <c r="R134" s="150">
        <f t="shared" si="13"/>
        <v>0.19062569405077442</v>
      </c>
      <c r="S134" s="150">
        <f t="shared" si="14"/>
        <v>0.00394777406976579</v>
      </c>
      <c r="V134" s="150">
        <f t="shared" si="17"/>
        <v>6.457286432160773</v>
      </c>
      <c r="W134" s="150">
        <f t="shared" si="15"/>
        <v>0.015490432785475393</v>
      </c>
      <c r="X134" s="150">
        <f t="shared" si="16"/>
        <v>0.11640397140303975</v>
      </c>
    </row>
    <row r="135" spans="17:24" ht="12.75">
      <c r="Q135" s="150">
        <f t="shared" si="12"/>
        <v>0.6030150753768934</v>
      </c>
      <c r="R135" s="150">
        <f t="shared" si="13"/>
        <v>0.18818489769324603</v>
      </c>
      <c r="S135" s="150">
        <f t="shared" si="14"/>
        <v>0.0034571158462042995</v>
      </c>
      <c r="V135" s="150">
        <f t="shared" si="17"/>
        <v>6.58291457286429</v>
      </c>
      <c r="W135" s="150">
        <f t="shared" si="15"/>
        <v>0.014262986947684608</v>
      </c>
      <c r="X135" s="150">
        <f t="shared" si="16"/>
        <v>0.1144213792591442</v>
      </c>
    </row>
    <row r="136" spans="17:24" ht="12.75">
      <c r="Q136" s="150">
        <f t="shared" si="12"/>
        <v>0.6984924623115667</v>
      </c>
      <c r="R136" s="150">
        <f t="shared" si="13"/>
        <v>0.18536416243678885</v>
      </c>
      <c r="S136" s="150">
        <f t="shared" si="14"/>
        <v>0.0030207393427614314</v>
      </c>
      <c r="V136" s="150">
        <f t="shared" si="17"/>
        <v>6.708542713567807</v>
      </c>
      <c r="W136" s="150">
        <f t="shared" si="15"/>
        <v>0.013111929557992825</v>
      </c>
      <c r="X136" s="150">
        <f t="shared" si="16"/>
        <v>0.11229379235742086</v>
      </c>
    </row>
    <row r="137" spans="17:24" ht="12.75">
      <c r="Q137" s="150">
        <f t="shared" si="12"/>
        <v>0.79396984924624</v>
      </c>
      <c r="R137" s="150">
        <f t="shared" si="13"/>
        <v>0.18218157637670498</v>
      </c>
      <c r="S137" s="150">
        <f t="shared" si="14"/>
        <v>0.0026336026327286534</v>
      </c>
      <c r="V137" s="150">
        <f t="shared" si="17"/>
        <v>6.834170854271324</v>
      </c>
      <c r="W137" s="150">
        <f t="shared" si="15"/>
        <v>0.012034607189894856</v>
      </c>
      <c r="X137" s="150">
        <f t="shared" si="16"/>
        <v>0.11003060701012078</v>
      </c>
    </row>
    <row r="138" spans="17:24" ht="12.75">
      <c r="Q138" s="150">
        <f t="shared" si="12"/>
        <v>0.8894472361809134</v>
      </c>
      <c r="R138" s="150">
        <f t="shared" si="13"/>
        <v>0.17865731985319436</v>
      </c>
      <c r="S138" s="150">
        <f t="shared" si="14"/>
        <v>0.002290999107213488</v>
      </c>
      <c r="V138" s="150">
        <f t="shared" si="17"/>
        <v>6.959798994974841</v>
      </c>
      <c r="W138" s="150">
        <f t="shared" si="15"/>
        <v>0.011028245388373796</v>
      </c>
      <c r="X138" s="150">
        <f t="shared" si="16"/>
        <v>0.10764167774053168</v>
      </c>
    </row>
    <row r="139" spans="17:24" ht="12.75">
      <c r="Q139" s="150">
        <f t="shared" si="12"/>
        <v>0.9849246231155867</v>
      </c>
      <c r="R139" s="150">
        <f t="shared" si="13"/>
        <v>0.17481345252330383</v>
      </c>
      <c r="S139" s="150">
        <f t="shared" si="14"/>
        <v>0.001988553449748916</v>
      </c>
      <c r="V139" s="150">
        <f t="shared" si="17"/>
        <v>7.0854271356783585</v>
      </c>
      <c r="W139" s="150">
        <f t="shared" si="15"/>
        <v>0.010089975506379521</v>
      </c>
      <c r="X139" s="150">
        <f t="shared" si="16"/>
        <v>0.10513724606020555</v>
      </c>
    </row>
    <row r="140" spans="17:24" ht="12.75">
      <c r="Q140" s="150">
        <f t="shared" si="12"/>
        <v>1.08040201005026</v>
      </c>
      <c r="R140" s="150">
        <f t="shared" si="13"/>
        <v>0.17067368372796304</v>
      </c>
      <c r="S140" s="150">
        <f t="shared" si="14"/>
        <v>0.001722214708961297</v>
      </c>
      <c r="V140" s="150">
        <f t="shared" si="17"/>
        <v>7.211055276381876</v>
      </c>
      <c r="W140" s="150">
        <f t="shared" si="15"/>
        <v>0.009216860034767346</v>
      </c>
      <c r="X140" s="150">
        <f t="shared" si="16"/>
        <v>0.10252786769505214</v>
      </c>
    </row>
    <row r="141" spans="17:24" ht="12.75">
      <c r="Q141" s="150">
        <f t="shared" si="12"/>
        <v>1.1758793969849335</v>
      </c>
      <c r="R141" s="150">
        <f t="shared" si="13"/>
        <v>0.1662631294930368</v>
      </c>
      <c r="S141" s="150">
        <f t="shared" si="14"/>
        <v>0.0014882469321884947</v>
      </c>
      <c r="V141" s="150">
        <f t="shared" si="17"/>
        <v>7.336683417085393</v>
      </c>
      <c r="W141" s="150">
        <f t="shared" si="15"/>
        <v>0.008405916320480314</v>
      </c>
      <c r="X141" s="150">
        <f t="shared" si="16"/>
        <v>0.09982433897975224</v>
      </c>
    </row>
    <row r="142" spans="17:24" ht="12.75">
      <c r="Q142" s="150">
        <f t="shared" si="12"/>
        <v>1.271356783919607</v>
      </c>
      <c r="R142" s="150">
        <f t="shared" si="13"/>
        <v>0.16160805963981995</v>
      </c>
      <c r="S142" s="150">
        <f t="shared" si="14"/>
        <v>0.001283217797550139</v>
      </c>
      <c r="V142" s="150">
        <f t="shared" si="17"/>
        <v>7.46231155778891</v>
      </c>
      <c r="W142" s="150">
        <f t="shared" si="15"/>
        <v>0.007654138593770346</v>
      </c>
      <c r="X142" s="150">
        <f t="shared" si="16"/>
        <v>0.0970376231329182</v>
      </c>
    </row>
    <row r="143" spans="17:24" ht="12.75">
      <c r="Q143" s="150">
        <f t="shared" si="12"/>
        <v>1.3668341708542804</v>
      </c>
      <c r="R143" s="150">
        <f t="shared" si="13"/>
        <v>0.15673563855321693</v>
      </c>
      <c r="S143" s="150">
        <f t="shared" si="14"/>
        <v>0.001103985652719607</v>
      </c>
      <c r="V143" s="150">
        <f t="shared" si="17"/>
        <v>7.587939698492427</v>
      </c>
      <c r="W143" s="150">
        <f t="shared" si="15"/>
        <v>0.006958518250017133</v>
      </c>
      <c r="X143" s="150">
        <f t="shared" si="16"/>
        <v>0.09417877710962382</v>
      </c>
    </row>
    <row r="144" spans="17:24" ht="12.75">
      <c r="Q144" s="150">
        <f t="shared" si="12"/>
        <v>1.4623115577889538</v>
      </c>
      <c r="R144" s="150">
        <f t="shared" si="13"/>
        <v>0.15167366316498043</v>
      </c>
      <c r="S144" s="150">
        <f t="shared" si="14"/>
        <v>0.0009476853365875167</v>
      </c>
      <c r="V144" s="150">
        <f t="shared" si="17"/>
        <v>7.713567839195944</v>
      </c>
      <c r="W144" s="150">
        <f t="shared" si="15"/>
        <v>0.006316062354987069</v>
      </c>
      <c r="X144" s="150">
        <f t="shared" si="16"/>
        <v>0.09125887970378027</v>
      </c>
    </row>
    <row r="145" spans="17:24" ht="12.75">
      <c r="Q145" s="150">
        <f t="shared" si="12"/>
        <v>1.5577889447236273</v>
      </c>
      <c r="R145" s="150">
        <f t="shared" si="13"/>
        <v>0.14645030165623546</v>
      </c>
      <c r="S145" s="150">
        <f t="shared" si="14"/>
        <v>0.0008117131261101532</v>
      </c>
      <c r="V145" s="150">
        <f t="shared" si="17"/>
        <v>7.839195979899461</v>
      </c>
      <c r="W145" s="150">
        <f t="shared" si="15"/>
        <v>0.005723810363989871</v>
      </c>
      <c r="X145" s="150">
        <f t="shared" si="16"/>
        <v>0.08828896154089864</v>
      </c>
    </row>
    <row r="146" spans="17:24" ht="12.75">
      <c r="Q146" s="150">
        <f t="shared" si="12"/>
        <v>1.6532663316583007</v>
      </c>
      <c r="R146" s="150">
        <f t="shared" si="13"/>
        <v>0.14109383627079713</v>
      </c>
      <c r="S146" s="150">
        <f t="shared" si="14"/>
        <v>0.0006937111157810425</v>
      </c>
      <c r="V146" s="150">
        <f t="shared" si="17"/>
        <v>7.964824120602978</v>
      </c>
      <c r="W146" s="150">
        <f t="shared" si="15"/>
        <v>0.005178849065189804</v>
      </c>
      <c r="X146" s="150">
        <f t="shared" si="16"/>
        <v>0.08527993756271503</v>
      </c>
    </row>
    <row r="147" spans="17:24" ht="12.75">
      <c r="Q147" s="150">
        <f t="shared" si="12"/>
        <v>1.7487437185929742</v>
      </c>
      <c r="R147" s="150">
        <f t="shared" si="13"/>
        <v>0.1356324134624416</v>
      </c>
      <c r="S147" s="150">
        <f t="shared" si="14"/>
        <v>0.0005915513021257968</v>
      </c>
      <c r="V147" s="150">
        <f t="shared" si="17"/>
        <v>8.090452261306496</v>
      </c>
      <c r="W147" s="150">
        <f t="shared" si="15"/>
        <v>0.004678325775206348</v>
      </c>
      <c r="X147" s="150">
        <f t="shared" si="16"/>
        <v>0.0822425425597169</v>
      </c>
    </row>
    <row r="148" spans="17:24" ht="12.75">
      <c r="Q148" s="150">
        <f t="shared" si="12"/>
        <v>1.8442211055276476</v>
      </c>
      <c r="R148" s="150">
        <f t="shared" si="13"/>
        <v>0.13009380438033538</v>
      </c>
      <c r="S148" s="150">
        <f t="shared" si="14"/>
        <v>0.0005033196110715565</v>
      </c>
      <c r="V148" s="150">
        <f t="shared" si="17"/>
        <v>8.216080402010013</v>
      </c>
      <c r="W148" s="150">
        <f t="shared" si="15"/>
        <v>0.004219459831027368</v>
      </c>
      <c r="X148" s="150">
        <f t="shared" si="16"/>
        <v>0.07918727025662836</v>
      </c>
    </row>
    <row r="149" spans="17:24" ht="12.75">
      <c r="Q149" s="150">
        <f t="shared" si="12"/>
        <v>1.939698492462321</v>
      </c>
      <c r="R149" s="150">
        <f t="shared" si="13"/>
        <v>0.12450517843323618</v>
      </c>
      <c r="S149" s="150">
        <f t="shared" si="14"/>
        <v>0.00042730007254948316</v>
      </c>
      <c r="V149" s="150">
        <f t="shared" si="17"/>
        <v>8.34170854271353</v>
      </c>
      <c r="W149" s="150">
        <f t="shared" si="15"/>
        <v>0.0037995524361255305</v>
      </c>
      <c r="X149" s="150">
        <f t="shared" si="16"/>
        <v>0.07612431640028097</v>
      </c>
    </row>
    <row r="150" spans="17:24" ht="12.75">
      <c r="Q150" s="150">
        <f t="shared" si="12"/>
        <v>2.0351758793969945</v>
      </c>
      <c r="R150" s="150">
        <f t="shared" si="13"/>
        <v>0.11889289237156947</v>
      </c>
      <c r="S150" s="150">
        <f t="shared" si="14"/>
        <v>0.00036195931471599694</v>
      </c>
      <c r="V150" s="150">
        <f t="shared" si="17"/>
        <v>8.467336683417047</v>
      </c>
      <c r="W150" s="150">
        <f t="shared" si="15"/>
        <v>0.0034159949305179213</v>
      </c>
      <c r="X150" s="150">
        <f t="shared" si="16"/>
        <v>0.07306352623995159</v>
      </c>
    </row>
    <row r="151" spans="17:24" ht="12.75">
      <c r="Q151" s="150">
        <f t="shared" si="12"/>
        <v>2.130653266331668</v>
      </c>
      <c r="R151" s="150">
        <f t="shared" si="13"/>
        <v>0.11328229699437171</v>
      </c>
      <c r="S151" s="150">
        <f t="shared" si="14"/>
        <v>0.00030593152009145456</v>
      </c>
      <c r="V151" s="150">
        <f t="shared" si="17"/>
        <v>8.592964824120564</v>
      </c>
      <c r="W151" s="150">
        <f t="shared" si="15"/>
        <v>0.003066275564371902</v>
      </c>
      <c r="X151" s="150">
        <f t="shared" si="16"/>
        <v>0.07001434672815025</v>
      </c>
    </row>
    <row r="152" spans="17:24" ht="12.75">
      <c r="Q152" s="150">
        <f t="shared" si="12"/>
        <v>2.2261306532663414</v>
      </c>
      <c r="R152" s="150">
        <f t="shared" si="13"/>
        <v>0.10769756323304613</v>
      </c>
      <c r="S152" s="150">
        <f t="shared" si="14"/>
        <v>0.00025800395798714103</v>
      </c>
      <c r="V152" s="150">
        <f t="shared" si="17"/>
        <v>8.718592964824081</v>
      </c>
      <c r="W152" s="150">
        <f t="shared" si="15"/>
        <v>0.002747984862696729</v>
      </c>
      <c r="X152" s="150">
        <f t="shared" si="16"/>
        <v>0.06698578370596156</v>
      </c>
    </row>
    <row r="153" spans="17:24" ht="12.75">
      <c r="Q153" s="150">
        <f t="shared" si="12"/>
        <v>2.321608040201015</v>
      </c>
      <c r="R153" s="150">
        <f t="shared" si="13"/>
        <v>0.10216152899377766</v>
      </c>
      <c r="S153" s="150">
        <f t="shared" si="14"/>
        <v>0.0002171031820115332</v>
      </c>
      <c r="V153" s="150">
        <f t="shared" si="17"/>
        <v>8.844221105527598</v>
      </c>
      <c r="W153" s="150">
        <f t="shared" si="15"/>
        <v>0.0024588196747524645</v>
      </c>
      <c r="X153" s="150">
        <f t="shared" si="16"/>
        <v>0.06398636427234318</v>
      </c>
    </row>
    <row r="154" spans="17:24" ht="12.75">
      <c r="Q154" s="150">
        <f t="shared" si="12"/>
        <v>2.4170854271356883</v>
      </c>
      <c r="R154" s="150">
        <f t="shared" si="13"/>
        <v>0.09669556776314288</v>
      </c>
      <c r="S154" s="150">
        <f t="shared" si="14"/>
        <v>0.00018228195832718783</v>
      </c>
      <c r="V154" s="150">
        <f t="shared" si="17"/>
        <v>8.969849246231115</v>
      </c>
      <c r="W154" s="150">
        <f t="shared" si="15"/>
        <v>0.002196586006157844</v>
      </c>
      <c r="X154" s="150">
        <f t="shared" si="16"/>
        <v>0.06102410447220329</v>
      </c>
    </row>
    <row r="155" spans="17:24" ht="12.75">
      <c r="Q155" s="150">
        <f t="shared" si="12"/>
        <v>2.5125628140703617</v>
      </c>
      <c r="R155" s="150">
        <f t="shared" si="13"/>
        <v>0.09131947960459415</v>
      </c>
      <c r="S155" s="150">
        <f t="shared" si="14"/>
        <v>0.00015270696971556925</v>
      </c>
      <c r="V155" s="150">
        <f t="shared" si="17"/>
        <v>9.095477386934633</v>
      </c>
      <c r="W155" s="150">
        <f t="shared" si="15"/>
        <v>0.001959200734404404</v>
      </c>
      <c r="X155" s="150">
        <f t="shared" si="16"/>
        <v>0.05810648237451432</v>
      </c>
    </row>
    <row r="156" spans="17:24" ht="12.75">
      <c r="Q156" s="150">
        <f t="shared" si="12"/>
        <v>2.608040201005035</v>
      </c>
      <c r="R156" s="150">
        <f t="shared" si="13"/>
        <v>0.08605140480437395</v>
      </c>
      <c r="S156" s="150">
        <f t="shared" si="14"/>
        <v>0.00012764732238596988</v>
      </c>
      <c r="V156" s="150">
        <f t="shared" si="17"/>
        <v>9.22110552763815</v>
      </c>
      <c r="W156" s="150">
        <f t="shared" si="15"/>
        <v>0.0017446923097163443</v>
      </c>
      <c r="X156" s="150">
        <f t="shared" si="16"/>
        <v>0.05524041655001665</v>
      </c>
    </row>
    <row r="157" spans="17:24" ht="12.75">
      <c r="Q157" s="150">
        <f t="shared" si="12"/>
        <v>2.7035175879397086</v>
      </c>
      <c r="R157" s="150">
        <f t="shared" si="13"/>
        <v>0.08090776007078868</v>
      </c>
      <c r="S157" s="150">
        <f t="shared" si="14"/>
        <v>0.00010646386677509663</v>
      </c>
      <c r="V157" s="150">
        <f t="shared" si="17"/>
        <v>9.346733668341667</v>
      </c>
      <c r="W157" s="150">
        <f t="shared" si="15"/>
        <v>0.0015512005430729826</v>
      </c>
      <c r="X157" s="150">
        <f t="shared" si="16"/>
        <v>0.05243224989900447</v>
      </c>
    </row>
    <row r="158" spans="17:24" ht="12.75">
      <c r="Q158" s="150">
        <f t="shared" si="12"/>
        <v>2.798994974874382</v>
      </c>
      <c r="R158" s="150">
        <f t="shared" si="13"/>
        <v>0.07590319685674365</v>
      </c>
      <c r="S158" s="150">
        <f t="shared" si="14"/>
        <v>8.859933022502789E-05</v>
      </c>
      <c r="V158" s="150">
        <f t="shared" si="17"/>
        <v>9.472361809045184</v>
      </c>
      <c r="W158" s="150">
        <f t="shared" si="15"/>
        <v>0.0013769755818787196</v>
      </c>
      <c r="X158" s="150">
        <f t="shared" si="16"/>
        <v>0.049687738723969144</v>
      </c>
    </row>
    <row r="159" spans="17:24" ht="12.75">
      <c r="Q159" s="150">
        <f t="shared" si="12"/>
        <v>2.8944723618090555</v>
      </c>
      <c r="R159" s="150">
        <f t="shared" si="13"/>
        <v>0.07105058106734433</v>
      </c>
      <c r="S159" s="150">
        <f t="shared" si="14"/>
        <v>7.356924826710871E-05</v>
      </c>
      <c r="V159" s="150">
        <f t="shared" si="17"/>
        <v>9.597989949748701</v>
      </c>
      <c r="W159" s="150">
        <f t="shared" si="15"/>
        <v>0.0012203761713715704</v>
      </c>
      <c r="X159" s="150">
        <f t="shared" si="16"/>
        <v>0.047012046890124684</v>
      </c>
    </row>
    <row r="160" spans="17:24" ht="12.75">
      <c r="Q160" s="150">
        <f t="shared" si="12"/>
        <v>2.989949748743729</v>
      </c>
      <c r="R160" s="150">
        <f t="shared" si="13"/>
        <v>0.06636099313668634</v>
      </c>
      <c r="S160" s="150">
        <f t="shared" si="14"/>
        <v>6.095367212291587E-05</v>
      </c>
      <c r="V160" s="150">
        <f t="shared" si="17"/>
        <v>9.723618090452218</v>
      </c>
      <c r="W160" s="150">
        <f t="shared" si="15"/>
        <v>0.0010798672965533168</v>
      </c>
      <c r="X160" s="150">
        <f t="shared" si="16"/>
        <v>0.044409744869580846</v>
      </c>
    </row>
    <row r="161" spans="17:24" ht="12.75">
      <c r="Q161" s="150">
        <f t="shared" si="12"/>
        <v>3.0854271356784024</v>
      </c>
      <c r="R161" s="150">
        <f t="shared" si="13"/>
        <v>0.06184374721425944</v>
      </c>
      <c r="S161" s="150">
        <f t="shared" si="14"/>
        <v>5.038962278971222E-05</v>
      </c>
      <c r="V161" s="150">
        <f t="shared" si="17"/>
        <v>9.849246231155735</v>
      </c>
      <c r="W161" s="150">
        <f t="shared" si="15"/>
        <v>0.0009540172953473969</v>
      </c>
      <c r="X161" s="150">
        <f t="shared" si="16"/>
        <v>0.0418848134225992</v>
      </c>
    </row>
    <row r="162" spans="17:24" ht="12.75">
      <c r="Q162" s="150">
        <f t="shared" si="12"/>
        <v>3.180904522613076</v>
      </c>
      <c r="R162" s="150">
        <f t="shared" si="13"/>
        <v>0.05750642799430783</v>
      </c>
      <c r="S162" s="150">
        <f t="shared" si="14"/>
        <v>4.1564256526378085E-05</v>
      </c>
      <c r="V162" s="150">
        <f t="shared" si="17"/>
        <v>9.974874371859253</v>
      </c>
      <c r="W162" s="150">
        <f t="shared" si="15"/>
        <v>0.0008414945289853582</v>
      </c>
      <c r="X162" s="150">
        <f t="shared" si="16"/>
        <v>0.039440651632296424</v>
      </c>
    </row>
    <row r="163" spans="17:24" ht="12.75">
      <c r="Q163" s="150">
        <f t="shared" si="12"/>
        <v>3.2763819095477493</v>
      </c>
      <c r="R163" s="150">
        <f t="shared" si="13"/>
        <v>0.05335494355270947</v>
      </c>
      <c r="S163" s="150">
        <f t="shared" si="14"/>
        <v>3.4208702512316123E-05</v>
      </c>
      <c r="V163" s="150">
        <f t="shared" si="17"/>
        <v>10.10050251256277</v>
      </c>
      <c r="W163" s="150">
        <f t="shared" si="15"/>
        <v>0.0007410636904234168</v>
      </c>
      <c r="X163" s="150">
        <f t="shared" si="16"/>
        <v>0.03708008897758751</v>
      </c>
    </row>
    <row r="164" spans="17:24" ht="12.75">
      <c r="Q164" s="150">
        <f t="shared" si="12"/>
        <v>3.3718592964824228</v>
      </c>
      <c r="R164" s="150">
        <f t="shared" si="13"/>
        <v>0.04939359242621705</v>
      </c>
      <c r="S164" s="150">
        <f t="shared" si="14"/>
        <v>2.809253073275514E-05</v>
      </c>
      <c r="V164" s="150">
        <f t="shared" si="17"/>
        <v>10.226130653266287</v>
      </c>
      <c r="W164" s="150">
        <f t="shared" si="15"/>
        <v>0.000651581826023627</v>
      </c>
      <c r="X164" s="150">
        <f t="shared" si="16"/>
        <v>0.03480540110322502</v>
      </c>
    </row>
    <row r="165" spans="17:24" ht="12.75">
      <c r="Q165" s="150">
        <f t="shared" si="12"/>
        <v>3.467336683417096</v>
      </c>
      <c r="R165" s="150">
        <f t="shared" si="13"/>
        <v>0.04562514307812104</v>
      </c>
      <c r="S165" s="150">
        <f t="shared" si="14"/>
        <v>2.3018806570500678E-05</v>
      </c>
      <c r="V165" s="150">
        <f t="shared" si="17"/>
        <v>10.351758793969804</v>
      </c>
      <c r="W165" s="150">
        <f t="shared" si="15"/>
        <v>0.0005719941399168722</v>
      </c>
      <c r="X165" s="150">
        <f t="shared" si="16"/>
        <v>0.032618328925534665</v>
      </c>
    </row>
    <row r="166" spans="17:24" ht="12.75">
      <c r="Q166" s="150">
        <f t="shared" si="12"/>
        <v>3.5628140703517697</v>
      </c>
      <c r="R166" s="150">
        <f t="shared" si="13"/>
        <v>0.04205092384160529</v>
      </c>
      <c r="S166" s="150">
        <f t="shared" si="14"/>
        <v>1.8819687985631264E-05</v>
      </c>
      <c r="V166" s="150">
        <f t="shared" si="17"/>
        <v>10.477386934673321</v>
      </c>
      <c r="W166" s="150">
        <f t="shared" si="15"/>
        <v>0.0005013296445046611</v>
      </c>
      <c r="X166" s="150">
        <f t="shared" si="16"/>
        <v>0.030520100697826083</v>
      </c>
    </row>
    <row r="167" spans="17:24" ht="12.75">
      <c r="Q167" s="150">
        <f t="shared" si="12"/>
        <v>3.658291457286443</v>
      </c>
      <c r="R167" s="150">
        <f t="shared" si="13"/>
        <v>0.03867092141557956</v>
      </c>
      <c r="S167" s="150">
        <f t="shared" si="14"/>
        <v>1.5352521380379342E-05</v>
      </c>
      <c r="V167" s="150">
        <f t="shared" si="17"/>
        <v>10.603015075376838</v>
      </c>
      <c r="W167" s="150">
        <f t="shared" si="15"/>
        <v>0.00043869671455047535</v>
      </c>
      <c r="X167" s="150">
        <f t="shared" si="16"/>
        <v>0.02851145665033995</v>
      </c>
    </row>
    <row r="168" spans="17:24" ht="12.75">
      <c r="Q168" s="150">
        <f t="shared" si="12"/>
        <v>3.7537688442211166</v>
      </c>
      <c r="R168" s="150">
        <f t="shared" si="13"/>
        <v>0.03548388600525265</v>
      </c>
      <c r="S168" s="150">
        <f t="shared" si="14"/>
        <v>1.2496393127935855E-05</v>
      </c>
      <c r="V168" s="150">
        <f t="shared" si="17"/>
        <v>10.728643216080355</v>
      </c>
      <c r="W168" s="150">
        <f t="shared" si="15"/>
        <v>0.00038327859634523754</v>
      </c>
      <c r="X168" s="150">
        <f t="shared" si="16"/>
        <v>0.026592675815772564</v>
      </c>
    </row>
    <row r="169" spans="17:24" ht="12.75">
      <c r="Q169" s="150">
        <f t="shared" si="12"/>
        <v>3.84924623115579</v>
      </c>
      <c r="R169" s="150">
        <f t="shared" si="13"/>
        <v>0.032487441248269355</v>
      </c>
      <c r="S169" s="150">
        <f t="shared" si="14"/>
        <v>1.0149095155830688E-05</v>
      </c>
      <c r="V169" s="150">
        <f t="shared" si="17"/>
        <v>10.854271356783872</v>
      </c>
      <c r="W169" s="150">
        <f t="shared" si="15"/>
        <v>0.0003343289175803244</v>
      </c>
      <c r="X169" s="150">
        <f t="shared" si="16"/>
        <v>0.0247636046526205</v>
      </c>
    </row>
    <row r="170" spans="17:24" ht="12.75">
      <c r="Q170" s="150">
        <f t="shared" si="12"/>
        <v>3.9447236180904635</v>
      </c>
      <c r="R170" s="150">
        <f t="shared" si="13"/>
        <v>0.02967819714354464</v>
      </c>
      <c r="S170" s="150">
        <f t="shared" si="14"/>
        <v>8.224464795298013E-06</v>
      </c>
      <c r="V170" s="150">
        <f t="shared" si="17"/>
        <v>10.97989949748739</v>
      </c>
      <c r="W170" s="150">
        <f t="shared" si="15"/>
        <v>0.0002911672378897582</v>
      </c>
      <c r="X170" s="150">
        <f t="shared" si="16"/>
        <v>0.023023687084475348</v>
      </c>
    </row>
    <row r="171" spans="17:24" ht="12.75">
      <c r="Q171" s="150">
        <f t="shared" si="12"/>
        <v>4.0402010050251365</v>
      </c>
      <c r="R171" s="150">
        <f t="shared" si="13"/>
        <v>0.02705186430033912</v>
      </c>
      <c r="S171" s="150">
        <f t="shared" si="14"/>
        <v>6.650061230042191E-06</v>
      </c>
      <c r="V171" s="150">
        <f t="shared" si="17"/>
        <v>11.105527638190907</v>
      </c>
      <c r="W171" s="150">
        <f t="shared" si="15"/>
        <v>0.0002531746745842476</v>
      </c>
      <c r="X171" s="150">
        <f t="shared" si="16"/>
        <v>0.021371995583586014</v>
      </c>
    </row>
    <row r="172" spans="17:24" ht="12.75">
      <c r="Q172" s="150">
        <f t="shared" si="12"/>
        <v>4.13567839195981</v>
      </c>
      <c r="R172" s="150">
        <f t="shared" si="13"/>
        <v>0.024603367945755097</v>
      </c>
      <c r="S172" s="150">
        <f t="shared" si="14"/>
        <v>5.365143207241944E-06</v>
      </c>
      <c r="V172" s="150">
        <f t="shared" si="17"/>
        <v>11.231155778894424</v>
      </c>
      <c r="W172" s="150">
        <f t="shared" si="15"/>
        <v>0.00021978963293717052</v>
      </c>
      <c r="X172" s="150">
        <f t="shared" si="16"/>
        <v>0.019807262941067844</v>
      </c>
    </row>
    <row r="173" spans="17:24" ht="12.75">
      <c r="Q173" s="150">
        <f t="shared" si="12"/>
        <v>4.231155778894483</v>
      </c>
      <c r="R173" s="150">
        <f t="shared" si="13"/>
        <v>0.022326960265714672</v>
      </c>
      <c r="S173" s="150">
        <f t="shared" si="14"/>
        <v>4.318915129934626E-06</v>
      </c>
      <c r="V173" s="150">
        <f t="shared" si="17"/>
        <v>11.356783919597941</v>
      </c>
      <c r="W173" s="150">
        <f t="shared" si="15"/>
        <v>0.00019050366553022898</v>
      </c>
      <c r="X173" s="150">
        <f t="shared" si="16"/>
        <v>0.01832791438361526</v>
      </c>
    </row>
    <row r="174" spans="17:24" ht="12.75">
      <c r="Q174" s="150">
        <f t="shared" si="12"/>
        <v>4.326633165829157</v>
      </c>
      <c r="R174" s="150">
        <f t="shared" si="13"/>
        <v>0.020216329803619988</v>
      </c>
      <c r="S174" s="150">
        <f t="shared" si="14"/>
        <v>3.4690111651394283E-06</v>
      </c>
      <c r="V174" s="150">
        <f t="shared" si="17"/>
        <v>11.482412060301458</v>
      </c>
      <c r="W174" s="150">
        <f t="shared" si="15"/>
        <v>0.00016485748064933023</v>
      </c>
      <c r="X174" s="150">
        <f t="shared" si="16"/>
        <v>0.016932099716991333</v>
      </c>
    </row>
    <row r="175" spans="17:24" ht="12.75">
      <c r="Q175" s="150">
        <f t="shared" si="12"/>
        <v>4.42211055276383</v>
      </c>
      <c r="R175" s="150">
        <f t="shared" si="13"/>
        <v>0.018264706798388552</v>
      </c>
      <c r="S175" s="150">
        <f t="shared" si="14"/>
        <v>2.780189519938308E-06</v>
      </c>
      <c r="V175" s="150">
        <f t="shared" si="17"/>
        <v>11.608040201004975</v>
      </c>
      <c r="W175" s="150">
        <f t="shared" si="15"/>
        <v>0.00014243711555601263</v>
      </c>
      <c r="X175" s="150">
        <f t="shared" si="16"/>
        <v>0.015617725199432995</v>
      </c>
    </row>
    <row r="176" spans="17:24" ht="12.75">
      <c r="Q176" s="150">
        <f t="shared" si="12"/>
        <v>4.517587939698504</v>
      </c>
      <c r="R176" s="150">
        <f t="shared" si="13"/>
        <v>0.016464963505669627</v>
      </c>
      <c r="S176" s="150">
        <f t="shared" si="14"/>
        <v>2.2232115126702847E-06</v>
      </c>
      <c r="V176" s="150">
        <f t="shared" si="17"/>
        <v>11.733668341708492</v>
      </c>
      <c r="W176" s="150">
        <f t="shared" si="15"/>
        <v>0.00012287028665583998</v>
      </c>
      <c r="X176" s="150">
        <f t="shared" si="16"/>
        <v>0.014382484872933074</v>
      </c>
    </row>
    <row r="177" spans="17:24" ht="12.75">
      <c r="Q177" s="150">
        <f t="shared" si="12"/>
        <v>4.613065326633177</v>
      </c>
      <c r="R177" s="150">
        <f t="shared" si="13"/>
        <v>0.0148097087092854</v>
      </c>
      <c r="S177" s="150">
        <f t="shared" si="14"/>
        <v>1.773882462474919E-06</v>
      </c>
      <c r="V177" s="150">
        <f t="shared" si="17"/>
        <v>11.85929648241201</v>
      </c>
      <c r="W177" s="150">
        <f t="shared" si="15"/>
        <v>0.00010582292514540973</v>
      </c>
      <c r="X177" s="150">
        <f t="shared" si="16"/>
        <v>0.0132238911066547</v>
      </c>
    </row>
    <row r="178" spans="17:24" ht="12.75">
      <c r="Q178" s="150">
        <f t="shared" si="12"/>
        <v>4.708542713567851</v>
      </c>
      <c r="R178" s="150">
        <f t="shared" si="13"/>
        <v>0.01329137579110992</v>
      </c>
      <c r="S178" s="150">
        <f t="shared" si="14"/>
        <v>1.4122337102866754E-06</v>
      </c>
      <c r="V178" s="150">
        <f t="shared" si="17"/>
        <v>11.984924623115527</v>
      </c>
      <c r="W178" s="150">
        <f t="shared" si="15"/>
        <v>9.099590364099954E-05</v>
      </c>
      <c r="X178" s="150">
        <f t="shared" si="16"/>
        <v>0.012139304134026592</v>
      </c>
    </row>
    <row r="179" spans="17:24" ht="12.75">
      <c r="Q179" s="150">
        <f t="shared" si="12"/>
        <v>4.804020100502524</v>
      </c>
      <c r="R179" s="150">
        <f t="shared" si="13"/>
        <v>0.011902303883847354</v>
      </c>
      <c r="S179" s="150">
        <f t="shared" si="14"/>
        <v>1.1218272481397953E-06</v>
      </c>
      <c r="V179" s="150">
        <f t="shared" si="17"/>
        <v>12.110552763819044</v>
      </c>
      <c r="W179" s="150">
        <f t="shared" si="15"/>
        <v>7.81219565665378E-05</v>
      </c>
      <c r="X179" s="150">
        <f t="shared" si="16"/>
        <v>0.011125960392909485</v>
      </c>
    </row>
    <row r="180" spans="17:24" ht="12.75">
      <c r="Q180" s="150">
        <f t="shared" si="12"/>
        <v>4.8994974874371975</v>
      </c>
      <c r="R180" s="150">
        <f t="shared" si="13"/>
        <v>0.010634811780028326</v>
      </c>
      <c r="S180" s="150">
        <f t="shared" si="14"/>
        <v>8.891664578552183E-07</v>
      </c>
      <c r="V180" s="150">
        <f t="shared" si="17"/>
        <v>12.236180904522561</v>
      </c>
      <c r="W180" s="150">
        <f t="shared" si="15"/>
        <v>6.696279469445723E-05</v>
      </c>
      <c r="X180" s="150">
        <f t="shared" si="16"/>
        <v>0.010180999506188762</v>
      </c>
    </row>
    <row r="181" spans="17:24" ht="12.75">
      <c r="Q181" s="150">
        <f t="shared" si="12"/>
        <v>4.994974874371871</v>
      </c>
      <c r="R181" s="150">
        <f t="shared" si="13"/>
        <v>0.009481264409934038</v>
      </c>
      <c r="S181" s="150">
        <f t="shared" si="14"/>
        <v>7.031983368461729E-07</v>
      </c>
      <c r="V181" s="150">
        <f t="shared" si="17"/>
        <v>12.361809045226078</v>
      </c>
      <c r="W181" s="150">
        <f t="shared" si="15"/>
        <v>5.7306412174687776E-05</v>
      </c>
      <c r="X181" s="150">
        <f t="shared" si="16"/>
        <v>0.009301489767843408</v>
      </c>
    </row>
    <row r="182" spans="17:24" ht="12.75">
      <c r="Q182" s="150">
        <f t="shared" si="12"/>
        <v>5.090452261306544</v>
      </c>
      <c r="R182" s="150">
        <f t="shared" si="13"/>
        <v>0.008434131829415352</v>
      </c>
      <c r="S182" s="150">
        <f t="shared" si="14"/>
        <v>5.548943144350668E-07</v>
      </c>
      <c r="V182" s="150">
        <f t="shared" si="17"/>
        <v>12.487437185929595</v>
      </c>
      <c r="W182" s="150">
        <f t="shared" si="15"/>
        <v>4.8964582636471195E-05</v>
      </c>
      <c r="X182" s="150">
        <f t="shared" si="16"/>
        <v>0.008484452026609779</v>
      </c>
    </row>
    <row r="183" spans="17:24" ht="12.75">
      <c r="Q183" s="150">
        <f t="shared" si="12"/>
        <v>5.185929648241218</v>
      </c>
      <c r="R183" s="150">
        <f t="shared" si="13"/>
        <v>0.00748604077443376</v>
      </c>
      <c r="S183" s="150">
        <f t="shared" si="14"/>
        <v>4.3689833693839927E-07</v>
      </c>
      <c r="V183" s="150">
        <f t="shared" si="17"/>
        <v>12.613065326633112</v>
      </c>
      <c r="W183" s="150">
        <f t="shared" si="15"/>
        <v>4.1770539484745635E-05</v>
      </c>
      <c r="X183" s="150">
        <f t="shared" si="16"/>
        <v>0.007726881885481301</v>
      </c>
    </row>
    <row r="184" spans="17:24" ht="12.75">
      <c r="Q184" s="150">
        <f t="shared" si="12"/>
        <v>5.281407035175891</v>
      </c>
      <c r="R184" s="150">
        <f t="shared" si="13"/>
        <v>0.006629818941740256</v>
      </c>
      <c r="S184" s="150">
        <f t="shared" si="14"/>
        <v>3.432323269999792E-07</v>
      </c>
      <c r="V184" s="150">
        <f t="shared" si="17"/>
        <v>12.73869346733663</v>
      </c>
      <c r="W184" s="150">
        <f t="shared" si="15"/>
        <v>3.55768343160894E-05</v>
      </c>
      <c r="X184" s="150">
        <f t="shared" si="16"/>
        <v>0.00702577016018496</v>
      </c>
    </row>
    <row r="185" spans="17:24" ht="12.75">
      <c r="Q185" s="150">
        <f t="shared" si="12"/>
        <v>5.376884422110565</v>
      </c>
      <c r="R185" s="150">
        <f t="shared" si="13"/>
        <v>0.005858532243923468</v>
      </c>
      <c r="S185" s="150">
        <f t="shared" si="14"/>
        <v>2.690504076388165E-07</v>
      </c>
      <c r="V185" s="150">
        <f t="shared" si="17"/>
        <v>12.864321608040147</v>
      </c>
      <c r="W185" s="150">
        <f t="shared" si="15"/>
        <v>3.025336642629376E-05</v>
      </c>
      <c r="X185" s="150">
        <f t="shared" si="16"/>
        <v>0.006378121563216436</v>
      </c>
    </row>
    <row r="186" spans="17:24" ht="12.75">
      <c r="Q186" s="150">
        <f t="shared" si="12"/>
        <v>5.472361809045238</v>
      </c>
      <c r="R186" s="150">
        <f t="shared" si="13"/>
        <v>0.005165515361938436</v>
      </c>
      <c r="S186" s="150">
        <f t="shared" si="14"/>
        <v>2.1043443130400152E-07</v>
      </c>
      <c r="V186" s="150">
        <f t="shared" si="17"/>
        <v>12.989949748743664</v>
      </c>
      <c r="W186" s="150">
        <f t="shared" si="15"/>
        <v>2.568557564986483E-05</v>
      </c>
      <c r="X186" s="150">
        <f t="shared" si="16"/>
        <v>0.005780971601805552</v>
      </c>
    </row>
    <row r="187" spans="17:24" ht="12.75">
      <c r="Q187" s="150">
        <f t="shared" si="12"/>
        <v>5.567839195979912</v>
      </c>
      <c r="R187" s="150">
        <f t="shared" si="13"/>
        <v>0.004544395979318903</v>
      </c>
      <c r="S187" s="150">
        <f t="shared" si="14"/>
        <v>1.6422437713598573E-07</v>
      </c>
      <c r="V187" s="150">
        <f t="shared" si="17"/>
        <v>13.11557788944718</v>
      </c>
      <c r="W187" s="150">
        <f t="shared" si="15"/>
        <v>2.177279023849226E-05</v>
      </c>
      <c r="X187" s="150">
        <f t="shared" si="16"/>
        <v>0.00523140169817027</v>
      </c>
    </row>
    <row r="188" spans="17:24" ht="12.75">
      <c r="Q188" s="150">
        <f t="shared" si="12"/>
        <v>5.663316582914585</v>
      </c>
      <c r="R188" s="150">
        <f t="shared" si="13"/>
        <v>0.003989113129995967</v>
      </c>
      <c r="S188" s="150">
        <f t="shared" si="14"/>
        <v>1.27878084608073E-07</v>
      </c>
      <c r="V188" s="150">
        <f t="shared" si="17"/>
        <v>13.241206030150698</v>
      </c>
      <c r="W188" s="150">
        <f t="shared" si="15"/>
        <v>1.8426721128543018E-05</v>
      </c>
      <c r="X188" s="150">
        <f t="shared" si="16"/>
        <v>0.004726552558491741</v>
      </c>
    </row>
    <row r="189" spans="17:24" ht="12.75">
      <c r="Q189" s="150">
        <f t="shared" si="12"/>
        <v>5.7587939698492585</v>
      </c>
      <c r="R189" s="150">
        <f t="shared" si="13"/>
        <v>0.0034939301266421335</v>
      </c>
      <c r="S189" s="150">
        <f t="shared" si="14"/>
        <v>9.93555881379424E-08</v>
      </c>
      <c r="V189" s="150">
        <f t="shared" si="17"/>
        <v>13.366834170854215</v>
      </c>
      <c r="W189" s="150">
        <f t="shared" si="15"/>
        <v>1.5570093745414187E-05</v>
      </c>
      <c r="X189" s="150">
        <f t="shared" si="16"/>
        <v>0.004263635833132303</v>
      </c>
    </row>
    <row r="190" spans="17:24" ht="12.75">
      <c r="Q190" s="150">
        <f t="shared" si="12"/>
        <v>5.854271356783932</v>
      </c>
      <c r="R190" s="150">
        <f t="shared" si="13"/>
        <v>0.003053442559568292</v>
      </c>
      <c r="S190" s="150">
        <f t="shared" si="14"/>
        <v>7.702401459689893E-08</v>
      </c>
      <c r="V190" s="150">
        <f t="shared" si="17"/>
        <v>13.492462311557732</v>
      </c>
      <c r="W190" s="150">
        <f t="shared" si="15"/>
        <v>1.3135408424544507E-05</v>
      </c>
      <c r="X190" s="150">
        <f t="shared" si="16"/>
        <v>0.003839944124689037</v>
      </c>
    </row>
    <row r="191" spans="17:24" ht="12.75">
      <c r="Q191" s="150">
        <f t="shared" si="12"/>
        <v>5.949748743718605</v>
      </c>
      <c r="R191" s="150">
        <f t="shared" si="13"/>
        <v>0.0026625818684066532</v>
      </c>
      <c r="S191" s="150">
        <f t="shared" si="14"/>
        <v>5.9579613260653274E-08</v>
      </c>
      <c r="V191" s="150">
        <f t="shared" si="17"/>
        <v>13.61809045226125</v>
      </c>
      <c r="W191" s="150">
        <f t="shared" si="15"/>
        <v>1.1063820575604496E-05</v>
      </c>
      <c r="X191" s="150">
        <f t="shared" si="16"/>
        <v>0.0034528594125258633</v>
      </c>
    </row>
    <row r="192" spans="17:24" ht="12.75">
      <c r="Q192" s="150">
        <f t="shared" si="12"/>
        <v>6.045226130653279</v>
      </c>
      <c r="R192" s="150">
        <f t="shared" si="13"/>
        <v>0.0023166149912068486</v>
      </c>
      <c r="S192" s="150">
        <f t="shared" si="14"/>
        <v>4.5984014700217396E-08</v>
      </c>
      <c r="V192" s="150">
        <f t="shared" si="17"/>
        <v>13.743718592964767</v>
      </c>
      <c r="W192" s="150">
        <f t="shared" si="15"/>
        <v>9.3041318597057E-06</v>
      </c>
      <c r="X192" s="150">
        <f t="shared" si="16"/>
        <v>0.0030998599724870006</v>
      </c>
    </row>
    <row r="193" spans="17:24" ht="12.75">
      <c r="Q193" s="150">
        <f t="shared" si="12"/>
        <v>6.140703517587952</v>
      </c>
      <c r="R193" s="150">
        <f t="shared" si="13"/>
        <v>0.002011140589317504</v>
      </c>
      <c r="S193" s="150">
        <f t="shared" si="14"/>
        <v>3.541227003821248E-08</v>
      </c>
      <c r="V193" s="150">
        <f t="shared" si="17"/>
        <v>13.869346733668284</v>
      </c>
      <c r="W193" s="150">
        <f t="shared" si="15"/>
        <v>7.811883872613296E-06</v>
      </c>
      <c r="X193" s="150">
        <f t="shared" si="16"/>
        <v>0.0027785258786207985</v>
      </c>
    </row>
    <row r="194" spans="17:24" ht="12.75">
      <c r="Q194" s="150">
        <f t="shared" si="12"/>
        <v>6.236180904522626</v>
      </c>
      <c r="R194" s="150">
        <f t="shared" si="13"/>
        <v>0.0017420823327180645</v>
      </c>
      <c r="S194" s="150">
        <f t="shared" si="14"/>
        <v>2.7210613011226625E-08</v>
      </c>
      <c r="V194" s="150">
        <f t="shared" si="17"/>
        <v>13.9949748743718</v>
      </c>
      <c r="W194" s="150">
        <f t="shared" si="15"/>
        <v>6.548546114565372E-06</v>
      </c>
      <c r="X194" s="150">
        <f t="shared" si="16"/>
        <v>0.0024865431800154326</v>
      </c>
    </row>
    <row r="195" spans="17:24" ht="12.75">
      <c r="Q195" s="150">
        <f t="shared" si="12"/>
        <v>6.331658291457299</v>
      </c>
      <c r="R195" s="150">
        <f t="shared" si="13"/>
        <v>0.0015056797105056055</v>
      </c>
      <c r="S195" s="150">
        <f t="shared" si="14"/>
        <v>2.0862221923495822E-08</v>
      </c>
      <c r="V195" s="150">
        <f t="shared" si="17"/>
        <v>14.120603015075318</v>
      </c>
      <c r="W195" s="150">
        <f t="shared" si="15"/>
        <v>5.480790365507937E-06</v>
      </c>
      <c r="X195" s="150">
        <f t="shared" si="16"/>
        <v>0.002221706850367545</v>
      </c>
    </row>
    <row r="196" spans="17:24" ht="12.75">
      <c r="Q196" s="150">
        <f aca="true" t="shared" si="18" ref="Q196:Q202">Q195+$P$13</f>
        <v>6.427135678391973</v>
      </c>
      <c r="R196" s="150">
        <f aca="true" t="shared" si="19" ref="R196:R202">NORMDIST(Q196,0,$P$10,0)</f>
        <v>0.0012984768062047293</v>
      </c>
      <c r="S196" s="150">
        <f aca="true" t="shared" si="20" ref="S196:S202">NORMDIST(Q196,$S$2,$P$10,0)</f>
        <v>1.5959543784580025E-08</v>
      </c>
      <c r="V196" s="150">
        <f t="shared" si="17"/>
        <v>14.246231155778835</v>
      </c>
      <c r="W196" s="150">
        <f aca="true" t="shared" si="21" ref="W196:W202">NORMDIST(V196,0,$U$10,0)</f>
        <v>4.579843960905488E-06</v>
      </c>
      <c r="X196" s="150">
        <f aca="true" t="shared" si="22" ref="X196:X202">NORMDIST(V196,$X$2,$U$10,0)</f>
        <v>0.001981922610787596</v>
      </c>
    </row>
    <row r="197" spans="17:24" ht="12.75">
      <c r="Q197" s="150">
        <f t="shared" si="18"/>
        <v>6.522613065326646</v>
      </c>
      <c r="R197" s="150">
        <f t="shared" si="19"/>
        <v>0.001117309448582766</v>
      </c>
      <c r="S197" s="150">
        <f t="shared" si="20"/>
        <v>1.2181985009087998E-08</v>
      </c>
      <c r="V197" s="150">
        <f aca="true" t="shared" si="23" ref="V197:V202">V196+$U$13</f>
        <v>14.371859296482352</v>
      </c>
      <c r="W197" s="150">
        <f t="shared" si="21"/>
        <v>3.820914866765984E-06</v>
      </c>
      <c r="X197" s="150">
        <f t="shared" si="22"/>
        <v>0.001765207727721385</v>
      </c>
    </row>
    <row r="198" spans="17:24" ht="12.75">
      <c r="Q198" s="150">
        <f t="shared" si="18"/>
        <v>6.6180904522613195</v>
      </c>
      <c r="R198" s="150">
        <f t="shared" si="19"/>
        <v>0.0009592911167784578</v>
      </c>
      <c r="S198" s="150">
        <f t="shared" si="20"/>
        <v>9.277977723556401E-09</v>
      </c>
      <c r="V198" s="150">
        <f t="shared" si="23"/>
        <v>14.49748743718587</v>
      </c>
      <c r="W198" s="150">
        <f t="shared" si="21"/>
        <v>3.182681873476316E-06</v>
      </c>
      <c r="X198" s="150">
        <f t="shared" si="22"/>
        <v>0.0015696908878738056</v>
      </c>
    </row>
    <row r="199" spans="17:24" ht="12.75">
      <c r="Q199" s="150">
        <f t="shared" si="18"/>
        <v>6.713567839195993</v>
      </c>
      <c r="R199" s="150">
        <f t="shared" si="19"/>
        <v>0.0008217979447681601</v>
      </c>
      <c r="S199" s="150">
        <f t="shared" si="20"/>
        <v>7.050603085261403E-09</v>
      </c>
      <c r="V199" s="150">
        <f t="shared" si="23"/>
        <v>14.623115577889386</v>
      </c>
      <c r="W199" s="150">
        <f t="shared" si="21"/>
        <v>2.6468436581348675E-06</v>
      </c>
      <c r="X199" s="150">
        <f t="shared" si="22"/>
        <v>0.001393611250803555</v>
      </c>
    </row>
    <row r="200" spans="17:24" ht="12.75">
      <c r="Q200" s="150">
        <f t="shared" si="18"/>
        <v>6.809045226130666</v>
      </c>
      <c r="R200" s="150">
        <f t="shared" si="19"/>
        <v>0.0007024531353846046</v>
      </c>
      <c r="S200" s="150">
        <f t="shared" si="20"/>
        <v>5.3460976169770665E-09</v>
      </c>
      <c r="V200" s="150">
        <f t="shared" si="23"/>
        <v>14.748743718592904</v>
      </c>
      <c r="W200" s="150">
        <f t="shared" si="21"/>
        <v>2.197720897174726E-06</v>
      </c>
      <c r="X200" s="150">
        <f t="shared" si="22"/>
        <v>0.0012353167775633082</v>
      </c>
    </row>
    <row r="201" spans="17:24" ht="12.75">
      <c r="Q201" s="150">
        <f t="shared" si="18"/>
        <v>6.90452261306534</v>
      </c>
      <c r="R201" s="150">
        <f t="shared" si="19"/>
        <v>0.000599111059053853</v>
      </c>
      <c r="S201" s="150">
        <f t="shared" si="20"/>
        <v>4.044689418199912E-09</v>
      </c>
      <c r="V201" s="150">
        <f t="shared" si="23"/>
        <v>14.87437185929642</v>
      </c>
      <c r="W201" s="150">
        <f t="shared" si="21"/>
        <v>1.8219060392144722E-06</v>
      </c>
      <c r="X201" s="150">
        <f t="shared" si="22"/>
        <v>0.0010932619305369167</v>
      </c>
    </row>
    <row r="202" spans="17:24" ht="12.75">
      <c r="Q202" s="150">
        <f t="shared" si="18"/>
        <v>7.000000000000013</v>
      </c>
      <c r="R202" s="150">
        <f t="shared" si="19"/>
        <v>0.0005098412778064282</v>
      </c>
      <c r="S202" s="150">
        <f t="shared" si="20"/>
        <v>3.0533117548203258E-09</v>
      </c>
      <c r="V202" s="150">
        <f t="shared" si="23"/>
        <v>14.999999999999938</v>
      </c>
      <c r="W202" s="150">
        <f t="shared" si="21"/>
        <v>1.5079557673219792E-06</v>
      </c>
      <c r="X202" s="150">
        <f t="shared" si="22"/>
        <v>0.0009660048356188349</v>
      </c>
    </row>
  </sheetData>
  <sheetProtection sheet="1" objects="1" scenarios="1"/>
  <mergeCells count="6">
    <mergeCell ref="B3:M4"/>
    <mergeCell ref="C31:L32"/>
    <mergeCell ref="G6:H6"/>
    <mergeCell ref="K6:L6"/>
    <mergeCell ref="C6:D6"/>
    <mergeCell ref="B28:M29"/>
  </mergeCells>
  <printOptions/>
  <pageMargins left="0.75" right="0.75" top="1" bottom="1" header="0.5" footer="0.5"/>
  <pageSetup horizontalDpi="200" verticalDpi="200" orientation="portrait" r:id="rId2"/>
  <ignoredErrors>
    <ignoredError sqref="U6 U30" formula="1"/>
  </ignoredErrors>
  <drawing r:id="rId1"/>
</worksheet>
</file>

<file path=xl/worksheets/sheet7.xml><?xml version="1.0" encoding="utf-8"?>
<worksheet xmlns="http://schemas.openxmlformats.org/spreadsheetml/2006/main" xmlns:r="http://schemas.openxmlformats.org/officeDocument/2006/relationships">
  <sheetPr codeName="Sheet4"/>
  <dimension ref="A1:O40"/>
  <sheetViews>
    <sheetView showGridLines="0" showRowColHeaders="0" zoomScale="117" zoomScaleNormal="117" zoomScalePageLayoutView="0" workbookViewId="0" topLeftCell="A1">
      <selection activeCell="A22" sqref="A22"/>
    </sheetView>
  </sheetViews>
  <sheetFormatPr defaultColWidth="9.140625" defaultRowHeight="12.75"/>
  <sheetData>
    <row r="1" spans="1:15" ht="12.75">
      <c r="A1" s="59"/>
      <c r="B1" s="59"/>
      <c r="C1" s="59"/>
      <c r="D1" s="59"/>
      <c r="E1" s="59"/>
      <c r="F1" s="59"/>
      <c r="G1" s="59"/>
      <c r="H1" s="59"/>
      <c r="I1" s="59"/>
      <c r="J1" s="59"/>
      <c r="K1" s="59"/>
      <c r="L1" s="59"/>
      <c r="M1" s="59"/>
      <c r="N1" s="59"/>
      <c r="O1" s="59"/>
    </row>
    <row r="2" spans="1:15" ht="12.75">
      <c r="A2" s="59"/>
      <c r="B2" s="59"/>
      <c r="C2" s="59"/>
      <c r="D2" s="59"/>
      <c r="E2" s="59"/>
      <c r="F2" s="59"/>
      <c r="G2" s="59"/>
      <c r="H2" s="59"/>
      <c r="I2" s="59"/>
      <c r="J2" s="59"/>
      <c r="K2" s="59"/>
      <c r="L2" s="59"/>
      <c r="M2" s="59"/>
      <c r="N2" s="59"/>
      <c r="O2" s="59"/>
    </row>
    <row r="3" spans="1:15" ht="12.75">
      <c r="A3" s="59"/>
      <c r="B3" s="59"/>
      <c r="C3" s="59"/>
      <c r="D3" s="59"/>
      <c r="E3" s="59"/>
      <c r="F3" s="59"/>
      <c r="G3" s="59"/>
      <c r="H3" s="59"/>
      <c r="I3" s="59"/>
      <c r="J3" s="59"/>
      <c r="K3" s="59"/>
      <c r="L3" s="59"/>
      <c r="M3" s="59"/>
      <c r="N3" s="59"/>
      <c r="O3" s="59"/>
    </row>
    <row r="4" spans="1:15" ht="12.75">
      <c r="A4" s="59"/>
      <c r="B4" s="59"/>
      <c r="C4" s="59"/>
      <c r="D4" s="59"/>
      <c r="E4" s="59"/>
      <c r="F4" s="59"/>
      <c r="G4" s="59"/>
      <c r="H4" s="59"/>
      <c r="I4" s="59"/>
      <c r="J4" s="59"/>
      <c r="K4" s="59"/>
      <c r="L4" s="59"/>
      <c r="M4" s="59"/>
      <c r="N4" s="59"/>
      <c r="O4" s="59"/>
    </row>
    <row r="5" spans="1:15" ht="12.75">
      <c r="A5" s="59"/>
      <c r="B5" s="59"/>
      <c r="C5" s="59"/>
      <c r="D5" s="59"/>
      <c r="E5" s="59"/>
      <c r="F5" s="59"/>
      <c r="G5" s="59"/>
      <c r="H5" s="59"/>
      <c r="I5" s="59"/>
      <c r="J5" s="59"/>
      <c r="K5" s="59"/>
      <c r="L5" s="59"/>
      <c r="M5" s="59"/>
      <c r="N5" s="59"/>
      <c r="O5" s="59"/>
    </row>
    <row r="6" spans="1:15" ht="12.75">
      <c r="A6" s="59"/>
      <c r="B6" s="59"/>
      <c r="C6" s="59"/>
      <c r="D6" s="59"/>
      <c r="E6" s="59"/>
      <c r="F6" s="59"/>
      <c r="G6" s="59"/>
      <c r="H6" s="59"/>
      <c r="I6" s="59"/>
      <c r="J6" s="59"/>
      <c r="K6" s="59"/>
      <c r="L6" s="59"/>
      <c r="M6" s="59"/>
      <c r="N6" s="59"/>
      <c r="O6" s="59"/>
    </row>
    <row r="7" spans="1:15" ht="12.75">
      <c r="A7" s="59"/>
      <c r="B7" s="59"/>
      <c r="C7" s="59"/>
      <c r="D7" s="59"/>
      <c r="E7" s="59"/>
      <c r="F7" s="59"/>
      <c r="G7" s="59"/>
      <c r="H7" s="59"/>
      <c r="I7" s="59"/>
      <c r="J7" s="59"/>
      <c r="K7" s="59"/>
      <c r="L7" s="59"/>
      <c r="M7" s="59"/>
      <c r="N7" s="59"/>
      <c r="O7" s="59"/>
    </row>
    <row r="8" spans="1:15" ht="12.75">
      <c r="A8" s="59"/>
      <c r="B8" s="59"/>
      <c r="C8" s="59"/>
      <c r="D8" s="59"/>
      <c r="E8" s="59"/>
      <c r="F8" s="59"/>
      <c r="G8" s="59"/>
      <c r="H8" s="59"/>
      <c r="I8" s="59"/>
      <c r="J8" s="59"/>
      <c r="K8" s="59"/>
      <c r="L8" s="59"/>
      <c r="M8" s="59"/>
      <c r="N8" s="59"/>
      <c r="O8" s="59"/>
    </row>
    <row r="9" spans="1:15" ht="12.75">
      <c r="A9" s="59"/>
      <c r="B9" s="59"/>
      <c r="C9" s="59"/>
      <c r="D9" s="59"/>
      <c r="E9" s="59"/>
      <c r="F9" s="59"/>
      <c r="G9" s="59"/>
      <c r="H9" s="59"/>
      <c r="I9" s="59"/>
      <c r="J9" s="59"/>
      <c r="K9" s="59"/>
      <c r="L9" s="59"/>
      <c r="M9" s="59"/>
      <c r="N9" s="59"/>
      <c r="O9" s="59"/>
    </row>
    <row r="10" spans="1:15" ht="12.75">
      <c r="A10" s="59"/>
      <c r="B10" s="59"/>
      <c r="C10" s="59"/>
      <c r="D10" s="59"/>
      <c r="E10" s="59"/>
      <c r="F10" s="59"/>
      <c r="G10" s="59"/>
      <c r="H10" s="59"/>
      <c r="I10" s="59"/>
      <c r="J10" s="59"/>
      <c r="K10" s="59"/>
      <c r="L10" s="59"/>
      <c r="M10" s="59"/>
      <c r="N10" s="59"/>
      <c r="O10" s="59"/>
    </row>
    <row r="11" spans="1:15" ht="12.75">
      <c r="A11" s="59"/>
      <c r="B11" s="59"/>
      <c r="C11" s="59"/>
      <c r="D11" s="59"/>
      <c r="E11" s="59"/>
      <c r="F11" s="59"/>
      <c r="G11" s="59"/>
      <c r="H11" s="59"/>
      <c r="I11" s="59"/>
      <c r="J11" s="59"/>
      <c r="K11" s="59"/>
      <c r="L11" s="59"/>
      <c r="M11" s="59"/>
      <c r="N11" s="59"/>
      <c r="O11" s="59"/>
    </row>
    <row r="12" spans="1:15" ht="12.75">
      <c r="A12" s="59"/>
      <c r="B12" s="59"/>
      <c r="C12" s="59"/>
      <c r="D12" s="59"/>
      <c r="E12" s="59"/>
      <c r="F12" s="59"/>
      <c r="G12" s="59"/>
      <c r="H12" s="59"/>
      <c r="I12" s="59"/>
      <c r="J12" s="59"/>
      <c r="K12" s="59"/>
      <c r="L12" s="59"/>
      <c r="M12" s="59"/>
      <c r="N12" s="59"/>
      <c r="O12" s="59"/>
    </row>
    <row r="13" spans="1:15" ht="12.75">
      <c r="A13" s="59"/>
      <c r="B13" s="59"/>
      <c r="C13" s="59"/>
      <c r="D13" s="59"/>
      <c r="E13" s="59"/>
      <c r="F13" s="59"/>
      <c r="G13" s="59"/>
      <c r="H13" s="59"/>
      <c r="I13" s="59"/>
      <c r="J13" s="59"/>
      <c r="K13" s="59"/>
      <c r="L13" s="59"/>
      <c r="M13" s="59"/>
      <c r="N13" s="59"/>
      <c r="O13" s="59"/>
    </row>
    <row r="14" spans="1:15" ht="12.75">
      <c r="A14" s="59"/>
      <c r="B14" s="59"/>
      <c r="C14" s="59"/>
      <c r="D14" s="59"/>
      <c r="E14" s="59"/>
      <c r="F14" s="59"/>
      <c r="G14" s="59"/>
      <c r="H14" s="59"/>
      <c r="I14" s="59"/>
      <c r="J14" s="59"/>
      <c r="K14" s="59"/>
      <c r="L14" s="59"/>
      <c r="M14" s="59"/>
      <c r="N14" s="59"/>
      <c r="O14" s="59"/>
    </row>
    <row r="15" spans="1:15" ht="12.75">
      <c r="A15" s="59"/>
      <c r="B15" s="59"/>
      <c r="C15" s="59"/>
      <c r="D15" s="59"/>
      <c r="E15" s="59"/>
      <c r="F15" s="59"/>
      <c r="G15" s="59"/>
      <c r="H15" s="59"/>
      <c r="I15" s="59"/>
      <c r="J15" s="59"/>
      <c r="K15" s="59"/>
      <c r="L15" s="59"/>
      <c r="M15" s="59"/>
      <c r="N15" s="59"/>
      <c r="O15" s="59"/>
    </row>
    <row r="16" spans="1:15" ht="12.75">
      <c r="A16" s="59"/>
      <c r="B16" s="59"/>
      <c r="C16" s="59"/>
      <c r="D16" s="59"/>
      <c r="E16" s="59"/>
      <c r="F16" s="59"/>
      <c r="G16" s="59"/>
      <c r="H16" s="59"/>
      <c r="I16" s="59"/>
      <c r="J16" s="59"/>
      <c r="K16" s="59"/>
      <c r="L16" s="59"/>
      <c r="M16" s="59"/>
      <c r="N16" s="59"/>
      <c r="O16" s="59"/>
    </row>
    <row r="17" spans="1:15" ht="12.75">
      <c r="A17" s="59"/>
      <c r="B17" s="59"/>
      <c r="C17" s="59"/>
      <c r="D17" s="59"/>
      <c r="E17" s="59"/>
      <c r="F17" s="59"/>
      <c r="G17" s="59"/>
      <c r="H17" s="59"/>
      <c r="I17" s="59"/>
      <c r="J17" s="59"/>
      <c r="K17" s="59"/>
      <c r="L17" s="59"/>
      <c r="M17" s="59"/>
      <c r="N17" s="59"/>
      <c r="O17" s="59"/>
    </row>
    <row r="18" spans="1:15" ht="12.75">
      <c r="A18" s="59"/>
      <c r="B18" s="59"/>
      <c r="C18" s="59"/>
      <c r="D18" s="59"/>
      <c r="E18" s="59"/>
      <c r="F18" s="59"/>
      <c r="G18" s="59"/>
      <c r="H18" s="59"/>
      <c r="I18" s="59"/>
      <c r="J18" s="59"/>
      <c r="K18" s="59"/>
      <c r="L18" s="59"/>
      <c r="M18" s="59"/>
      <c r="N18" s="59"/>
      <c r="O18" s="59"/>
    </row>
    <row r="19" spans="1:15" ht="12.75">
      <c r="A19" s="59"/>
      <c r="B19" s="59"/>
      <c r="C19" s="59"/>
      <c r="D19" s="59"/>
      <c r="E19" s="59"/>
      <c r="F19" s="59"/>
      <c r="G19" s="59"/>
      <c r="H19" s="59"/>
      <c r="I19" s="59"/>
      <c r="J19" s="59"/>
      <c r="K19" s="59"/>
      <c r="L19" s="59"/>
      <c r="M19" s="59"/>
      <c r="N19" s="59"/>
      <c r="O19" s="59"/>
    </row>
    <row r="20" spans="1:15" ht="12.75">
      <c r="A20" s="59"/>
      <c r="B20" s="59"/>
      <c r="C20" s="59"/>
      <c r="D20" s="59"/>
      <c r="E20" s="59"/>
      <c r="F20" s="59"/>
      <c r="G20" s="59"/>
      <c r="H20" s="59"/>
      <c r="I20" s="59"/>
      <c r="J20" s="59"/>
      <c r="K20" s="59"/>
      <c r="L20" s="59"/>
      <c r="M20" s="59"/>
      <c r="N20" s="59"/>
      <c r="O20" s="59"/>
    </row>
    <row r="21" spans="1:15" ht="12.75">
      <c r="A21" s="59"/>
      <c r="B21" s="59"/>
      <c r="C21" s="59"/>
      <c r="D21" s="59"/>
      <c r="E21" s="59"/>
      <c r="F21" s="59"/>
      <c r="G21" s="59"/>
      <c r="H21" s="59"/>
      <c r="I21" s="59"/>
      <c r="J21" s="59"/>
      <c r="K21" s="59"/>
      <c r="L21" s="59"/>
      <c r="M21" s="59"/>
      <c r="N21" s="59"/>
      <c r="O21" s="59"/>
    </row>
    <row r="22" spans="1:15" ht="12.75">
      <c r="A22" s="59"/>
      <c r="B22" s="59"/>
      <c r="C22" s="59"/>
      <c r="D22" s="59"/>
      <c r="E22" s="59"/>
      <c r="F22" s="59"/>
      <c r="G22" s="59"/>
      <c r="H22" s="59"/>
      <c r="I22" s="59"/>
      <c r="J22" s="59"/>
      <c r="K22" s="59"/>
      <c r="L22" s="59"/>
      <c r="M22" s="59"/>
      <c r="N22" s="59"/>
      <c r="O22" s="59"/>
    </row>
    <row r="23" spans="1:15" ht="12.75">
      <c r="A23" s="59"/>
      <c r="B23" s="59"/>
      <c r="C23" s="59"/>
      <c r="D23" s="59"/>
      <c r="E23" s="59"/>
      <c r="F23" s="59"/>
      <c r="G23" s="59"/>
      <c r="H23" s="59"/>
      <c r="I23" s="59"/>
      <c r="J23" s="59"/>
      <c r="K23" s="59"/>
      <c r="L23" s="59"/>
      <c r="M23" s="59"/>
      <c r="N23" s="59"/>
      <c r="O23" s="59"/>
    </row>
    <row r="24" spans="1:15" ht="12.75">
      <c r="A24" s="59"/>
      <c r="B24" s="59"/>
      <c r="C24" s="59"/>
      <c r="D24" s="59"/>
      <c r="E24" s="59"/>
      <c r="F24" s="59"/>
      <c r="G24" s="59"/>
      <c r="H24" s="59"/>
      <c r="I24" s="59"/>
      <c r="J24" s="59"/>
      <c r="K24" s="59"/>
      <c r="L24" s="59"/>
      <c r="M24" s="59"/>
      <c r="N24" s="59"/>
      <c r="O24" s="59"/>
    </row>
    <row r="25" spans="1:15" ht="12.75">
      <c r="A25" s="59"/>
      <c r="B25" s="59"/>
      <c r="C25" s="59"/>
      <c r="D25" s="59"/>
      <c r="E25" s="59"/>
      <c r="F25" s="59"/>
      <c r="G25" s="59"/>
      <c r="H25" s="59"/>
      <c r="I25" s="59"/>
      <c r="J25" s="59"/>
      <c r="K25" s="59"/>
      <c r="L25" s="59"/>
      <c r="M25" s="59"/>
      <c r="N25" s="59"/>
      <c r="O25" s="59"/>
    </row>
    <row r="26" spans="1:15" ht="12.75">
      <c r="A26" s="59"/>
      <c r="B26" s="59"/>
      <c r="C26" s="59"/>
      <c r="D26" s="59"/>
      <c r="E26" s="59"/>
      <c r="F26" s="59"/>
      <c r="G26" s="59"/>
      <c r="H26" s="59"/>
      <c r="I26" s="59"/>
      <c r="J26" s="59"/>
      <c r="K26" s="59"/>
      <c r="L26" s="59"/>
      <c r="M26" s="59"/>
      <c r="N26" s="59"/>
      <c r="O26" s="59"/>
    </row>
    <row r="27" spans="1:15" ht="12.75">
      <c r="A27" s="59"/>
      <c r="B27" s="59"/>
      <c r="C27" s="59"/>
      <c r="D27" s="59"/>
      <c r="E27" s="59"/>
      <c r="F27" s="59"/>
      <c r="G27" s="59"/>
      <c r="H27" s="59"/>
      <c r="I27" s="59"/>
      <c r="J27" s="59"/>
      <c r="K27" s="59"/>
      <c r="L27" s="59"/>
      <c r="M27" s="59"/>
      <c r="N27" s="59"/>
      <c r="O27" s="59"/>
    </row>
    <row r="28" spans="1:15" ht="12.75">
      <c r="A28" s="59"/>
      <c r="B28" s="59"/>
      <c r="C28" s="59"/>
      <c r="D28" s="59"/>
      <c r="E28" s="59"/>
      <c r="F28" s="59"/>
      <c r="G28" s="59"/>
      <c r="H28" s="59"/>
      <c r="I28" s="59"/>
      <c r="J28" s="59"/>
      <c r="K28" s="59"/>
      <c r="L28" s="59"/>
      <c r="M28" s="59"/>
      <c r="N28" s="59"/>
      <c r="O28" s="59"/>
    </row>
    <row r="29" spans="1:15" ht="12.75">
      <c r="A29" s="59"/>
      <c r="B29" s="59"/>
      <c r="C29" s="59"/>
      <c r="D29" s="59"/>
      <c r="E29" s="59"/>
      <c r="F29" s="59"/>
      <c r="G29" s="59"/>
      <c r="H29" s="59"/>
      <c r="I29" s="59"/>
      <c r="J29" s="59"/>
      <c r="K29" s="59"/>
      <c r="L29" s="59"/>
      <c r="M29" s="59"/>
      <c r="N29" s="59"/>
      <c r="O29" s="59"/>
    </row>
    <row r="30" spans="1:15" ht="12.75">
      <c r="A30" s="59"/>
      <c r="B30" s="59"/>
      <c r="C30" s="59"/>
      <c r="D30" s="59"/>
      <c r="E30" s="59"/>
      <c r="F30" s="59"/>
      <c r="G30" s="59"/>
      <c r="H30" s="59"/>
      <c r="I30" s="59"/>
      <c r="J30" s="59"/>
      <c r="K30" s="59"/>
      <c r="L30" s="59"/>
      <c r="M30" s="59"/>
      <c r="N30" s="59"/>
      <c r="O30" s="59"/>
    </row>
    <row r="31" spans="1:15" ht="12.75">
      <c r="A31" s="59"/>
      <c r="B31" s="59"/>
      <c r="C31" s="59"/>
      <c r="D31" s="59"/>
      <c r="E31" s="59"/>
      <c r="F31" s="59"/>
      <c r="G31" s="59"/>
      <c r="H31" s="59"/>
      <c r="I31" s="59"/>
      <c r="J31" s="59"/>
      <c r="K31" s="59"/>
      <c r="L31" s="59"/>
      <c r="M31" s="59"/>
      <c r="N31" s="59"/>
      <c r="O31" s="59"/>
    </row>
    <row r="32" spans="1:15" ht="12.75">
      <c r="A32" s="59"/>
      <c r="B32" s="59"/>
      <c r="C32" s="59"/>
      <c r="D32" s="59"/>
      <c r="E32" s="59"/>
      <c r="F32" s="59"/>
      <c r="G32" s="59"/>
      <c r="H32" s="59"/>
      <c r="I32" s="59"/>
      <c r="J32" s="59"/>
      <c r="K32" s="59"/>
      <c r="L32" s="59"/>
      <c r="M32" s="59"/>
      <c r="N32" s="59"/>
      <c r="O32" s="59"/>
    </row>
    <row r="33" spans="1:15" ht="12.75">
      <c r="A33" s="59"/>
      <c r="B33" s="59"/>
      <c r="C33" s="59"/>
      <c r="D33" s="59"/>
      <c r="E33" s="59"/>
      <c r="F33" s="59"/>
      <c r="G33" s="59"/>
      <c r="H33" s="59"/>
      <c r="I33" s="59"/>
      <c r="J33" s="59"/>
      <c r="K33" s="59"/>
      <c r="L33" s="59"/>
      <c r="M33" s="59"/>
      <c r="N33" s="59"/>
      <c r="O33" s="59"/>
    </row>
    <row r="34" spans="1:15" ht="12.75">
      <c r="A34" s="59"/>
      <c r="B34" s="59"/>
      <c r="C34" s="59"/>
      <c r="D34" s="59"/>
      <c r="E34" s="59"/>
      <c r="F34" s="59"/>
      <c r="G34" s="59"/>
      <c r="H34" s="59"/>
      <c r="I34" s="59"/>
      <c r="J34" s="59"/>
      <c r="K34" s="59"/>
      <c r="L34" s="59"/>
      <c r="M34" s="59"/>
      <c r="N34" s="59"/>
      <c r="O34" s="59"/>
    </row>
    <row r="35" spans="1:15" ht="12.75">
      <c r="A35" s="59"/>
      <c r="B35" s="59"/>
      <c r="C35" s="59"/>
      <c r="D35" s="59"/>
      <c r="E35" s="59"/>
      <c r="F35" s="59"/>
      <c r="G35" s="59"/>
      <c r="H35" s="59"/>
      <c r="I35" s="59"/>
      <c r="J35" s="59"/>
      <c r="K35" s="59"/>
      <c r="L35" s="59"/>
      <c r="M35" s="59"/>
      <c r="N35" s="59"/>
      <c r="O35" s="59"/>
    </row>
    <row r="36" spans="1:15" ht="12.75">
      <c r="A36" s="59"/>
      <c r="B36" s="59"/>
      <c r="C36" s="59"/>
      <c r="D36" s="59"/>
      <c r="E36" s="59"/>
      <c r="F36" s="59"/>
      <c r="G36" s="59"/>
      <c r="H36" s="59"/>
      <c r="I36" s="59"/>
      <c r="J36" s="59"/>
      <c r="K36" s="59"/>
      <c r="L36" s="59"/>
      <c r="M36" s="59"/>
      <c r="N36" s="59"/>
      <c r="O36" s="59"/>
    </row>
    <row r="37" spans="1:15" ht="12.75">
      <c r="A37" s="59"/>
      <c r="B37" s="59"/>
      <c r="C37" s="59"/>
      <c r="D37" s="59"/>
      <c r="E37" s="59"/>
      <c r="F37" s="59"/>
      <c r="G37" s="59"/>
      <c r="H37" s="59"/>
      <c r="I37" s="59"/>
      <c r="J37" s="59"/>
      <c r="K37" s="59"/>
      <c r="L37" s="59"/>
      <c r="M37" s="59"/>
      <c r="N37" s="59"/>
      <c r="O37" s="59"/>
    </row>
    <row r="38" spans="1:15" ht="12.75">
      <c r="A38" s="59"/>
      <c r="B38" s="59"/>
      <c r="C38" s="59"/>
      <c r="D38" s="59"/>
      <c r="E38" s="59"/>
      <c r="F38" s="59"/>
      <c r="G38" s="59"/>
      <c r="H38" s="59"/>
      <c r="I38" s="59"/>
      <c r="J38" s="59"/>
      <c r="K38" s="59"/>
      <c r="L38" s="59"/>
      <c r="M38" s="59"/>
      <c r="N38" s="59"/>
      <c r="O38" s="59"/>
    </row>
    <row r="39" spans="1:15" ht="12.75">
      <c r="A39" s="59"/>
      <c r="B39" s="59"/>
      <c r="C39" s="59"/>
      <c r="D39" s="59"/>
      <c r="E39" s="59"/>
      <c r="F39" s="59"/>
      <c r="G39" s="59"/>
      <c r="H39" s="59"/>
      <c r="I39" s="59"/>
      <c r="J39" s="59"/>
      <c r="K39" s="59"/>
      <c r="L39" s="59"/>
      <c r="M39" s="59"/>
      <c r="N39" s="59"/>
      <c r="O39" s="59"/>
    </row>
    <row r="40" spans="1:15" ht="12.75">
      <c r="A40" s="59"/>
      <c r="B40" s="59"/>
      <c r="C40" s="59"/>
      <c r="D40" s="59"/>
      <c r="E40" s="59"/>
      <c r="F40" s="59"/>
      <c r="G40" s="59"/>
      <c r="H40" s="59"/>
      <c r="I40" s="59"/>
      <c r="J40" s="59"/>
      <c r="K40" s="59"/>
      <c r="L40" s="59"/>
      <c r="M40" s="59"/>
      <c r="N40" s="59"/>
      <c r="O40" s="59"/>
    </row>
  </sheetData>
  <sheetProtection/>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3"/>
  <dimension ref="A1:P39"/>
  <sheetViews>
    <sheetView showGridLines="0" showRowColHeaders="0" zoomScale="108" zoomScaleNormal="108" zoomScalePageLayoutView="0" workbookViewId="0" topLeftCell="A1">
      <selection activeCell="A1" sqref="A1"/>
    </sheetView>
  </sheetViews>
  <sheetFormatPr defaultColWidth="9.140625" defaultRowHeight="12.75"/>
  <sheetData>
    <row r="1" spans="1:16" ht="12.75">
      <c r="A1" s="59"/>
      <c r="B1" s="59"/>
      <c r="C1" s="59"/>
      <c r="D1" s="59"/>
      <c r="E1" s="59"/>
      <c r="F1" s="59"/>
      <c r="G1" s="59"/>
      <c r="H1" s="59"/>
      <c r="I1" s="59"/>
      <c r="J1" s="59"/>
      <c r="K1" s="59"/>
      <c r="L1" s="59"/>
      <c r="M1" s="59"/>
      <c r="N1" s="59"/>
      <c r="O1" s="59"/>
      <c r="P1" s="59"/>
    </row>
    <row r="2" spans="1:16" ht="12.75">
      <c r="A2" s="59"/>
      <c r="B2" s="59"/>
      <c r="C2" s="59"/>
      <c r="D2" s="59"/>
      <c r="E2" s="59"/>
      <c r="F2" s="59"/>
      <c r="G2" s="59"/>
      <c r="H2" s="59"/>
      <c r="I2" s="59"/>
      <c r="J2" s="59"/>
      <c r="K2" s="59"/>
      <c r="L2" s="59"/>
      <c r="M2" s="59"/>
      <c r="N2" s="59"/>
      <c r="O2" s="59"/>
      <c r="P2" s="59"/>
    </row>
    <row r="3" spans="1:16" ht="12.75">
      <c r="A3" s="59"/>
      <c r="B3" s="59"/>
      <c r="C3" s="59"/>
      <c r="D3" s="59"/>
      <c r="E3" s="59"/>
      <c r="F3" s="59"/>
      <c r="G3" s="59"/>
      <c r="H3" s="59"/>
      <c r="I3" s="59"/>
      <c r="J3" s="59"/>
      <c r="K3" s="59"/>
      <c r="L3" s="59"/>
      <c r="M3" s="59"/>
      <c r="N3" s="59"/>
      <c r="O3" s="59"/>
      <c r="P3" s="59"/>
    </row>
    <row r="4" spans="1:16" ht="12.75">
      <c r="A4" s="59"/>
      <c r="B4" s="59"/>
      <c r="C4" s="59"/>
      <c r="D4" s="59"/>
      <c r="E4" s="59"/>
      <c r="F4" s="59"/>
      <c r="G4" s="59"/>
      <c r="H4" s="59"/>
      <c r="I4" s="59"/>
      <c r="J4" s="59"/>
      <c r="K4" s="59"/>
      <c r="L4" s="59"/>
      <c r="M4" s="59"/>
      <c r="N4" s="59"/>
      <c r="O4" s="59"/>
      <c r="P4" s="59"/>
    </row>
    <row r="5" spans="1:16" ht="12.75">
      <c r="A5" s="59"/>
      <c r="B5" s="59"/>
      <c r="C5" s="59"/>
      <c r="D5" s="59"/>
      <c r="E5" s="59"/>
      <c r="F5" s="59"/>
      <c r="G5" s="59"/>
      <c r="H5" s="59"/>
      <c r="I5" s="59"/>
      <c r="J5" s="59"/>
      <c r="K5" s="59"/>
      <c r="L5" s="59"/>
      <c r="M5" s="59"/>
      <c r="N5" s="59"/>
      <c r="O5" s="59"/>
      <c r="P5" s="59"/>
    </row>
    <row r="6" spans="1:16" ht="12.75">
      <c r="A6" s="59"/>
      <c r="B6" s="59"/>
      <c r="C6" s="59"/>
      <c r="D6" s="59"/>
      <c r="E6" s="59"/>
      <c r="F6" s="59"/>
      <c r="G6" s="59"/>
      <c r="H6" s="59"/>
      <c r="I6" s="59"/>
      <c r="J6" s="59"/>
      <c r="K6" s="59"/>
      <c r="L6" s="59"/>
      <c r="M6" s="59"/>
      <c r="N6" s="59"/>
      <c r="O6" s="59"/>
      <c r="P6" s="59"/>
    </row>
    <row r="7" spans="1:16" ht="12.75">
      <c r="A7" s="59"/>
      <c r="B7" s="59"/>
      <c r="C7" s="59"/>
      <c r="D7" s="59"/>
      <c r="E7" s="59"/>
      <c r="F7" s="59"/>
      <c r="G7" s="59"/>
      <c r="H7" s="59"/>
      <c r="I7" s="59"/>
      <c r="J7" s="59"/>
      <c r="K7" s="59"/>
      <c r="L7" s="59"/>
      <c r="M7" s="59"/>
      <c r="N7" s="59"/>
      <c r="O7" s="59"/>
      <c r="P7" s="59"/>
    </row>
    <row r="8" spans="1:16" ht="12.75">
      <c r="A8" s="59"/>
      <c r="B8" s="59"/>
      <c r="C8" s="59"/>
      <c r="D8" s="59"/>
      <c r="E8" s="59"/>
      <c r="F8" s="59"/>
      <c r="G8" s="59"/>
      <c r="H8" s="59"/>
      <c r="I8" s="59"/>
      <c r="J8" s="59"/>
      <c r="K8" s="59"/>
      <c r="L8" s="59"/>
      <c r="M8" s="59"/>
      <c r="N8" s="59"/>
      <c r="O8" s="59"/>
      <c r="P8" s="59"/>
    </row>
    <row r="9" spans="1:16" ht="12.75">
      <c r="A9" s="59"/>
      <c r="B9" s="59"/>
      <c r="C9" s="59"/>
      <c r="D9" s="59"/>
      <c r="E9" s="59"/>
      <c r="F9" s="59"/>
      <c r="G9" s="59"/>
      <c r="H9" s="59"/>
      <c r="I9" s="59"/>
      <c r="J9" s="59"/>
      <c r="K9" s="59"/>
      <c r="L9" s="59"/>
      <c r="M9" s="59"/>
      <c r="N9" s="59"/>
      <c r="O9" s="59"/>
      <c r="P9" s="59"/>
    </row>
    <row r="10" spans="1:16" ht="12.75">
      <c r="A10" s="59"/>
      <c r="B10" s="59"/>
      <c r="C10" s="59"/>
      <c r="D10" s="59"/>
      <c r="E10" s="59"/>
      <c r="F10" s="59"/>
      <c r="G10" s="59"/>
      <c r="H10" s="59"/>
      <c r="I10" s="59"/>
      <c r="J10" s="59"/>
      <c r="K10" s="59"/>
      <c r="L10" s="59"/>
      <c r="M10" s="59"/>
      <c r="N10" s="59"/>
      <c r="O10" s="59"/>
      <c r="P10" s="59"/>
    </row>
    <row r="11" spans="1:16" ht="12.75">
      <c r="A11" s="59"/>
      <c r="B11" s="59"/>
      <c r="C11" s="59"/>
      <c r="D11" s="59"/>
      <c r="E11" s="59"/>
      <c r="F11" s="59"/>
      <c r="G11" s="59"/>
      <c r="H11" s="59"/>
      <c r="I11" s="59"/>
      <c r="J11" s="59"/>
      <c r="K11" s="59"/>
      <c r="L11" s="59"/>
      <c r="M11" s="59"/>
      <c r="N11" s="59"/>
      <c r="O11" s="59"/>
      <c r="P11" s="59"/>
    </row>
    <row r="12" spans="1:16" ht="12.75">
      <c r="A12" s="59"/>
      <c r="B12" s="59"/>
      <c r="C12" s="59"/>
      <c r="D12" s="59"/>
      <c r="E12" s="59"/>
      <c r="F12" s="59"/>
      <c r="G12" s="59"/>
      <c r="H12" s="59"/>
      <c r="I12" s="59"/>
      <c r="J12" s="59"/>
      <c r="K12" s="59"/>
      <c r="L12" s="59"/>
      <c r="M12" s="59"/>
      <c r="N12" s="59"/>
      <c r="O12" s="59"/>
      <c r="P12" s="59"/>
    </row>
    <row r="13" spans="1:16" ht="12.75">
      <c r="A13" s="59"/>
      <c r="B13" s="59"/>
      <c r="C13" s="59"/>
      <c r="D13" s="59"/>
      <c r="E13" s="59"/>
      <c r="F13" s="59"/>
      <c r="G13" s="59"/>
      <c r="H13" s="59"/>
      <c r="I13" s="59"/>
      <c r="J13" s="59"/>
      <c r="K13" s="59"/>
      <c r="L13" s="59"/>
      <c r="M13" s="59"/>
      <c r="N13" s="59"/>
      <c r="O13" s="59"/>
      <c r="P13" s="59"/>
    </row>
    <row r="14" spans="1:16" ht="12.75">
      <c r="A14" s="59"/>
      <c r="B14" s="59"/>
      <c r="C14" s="59"/>
      <c r="D14" s="59"/>
      <c r="E14" s="59"/>
      <c r="F14" s="59"/>
      <c r="G14" s="59"/>
      <c r="H14" s="59"/>
      <c r="I14" s="59"/>
      <c r="J14" s="59"/>
      <c r="K14" s="59"/>
      <c r="L14" s="59"/>
      <c r="M14" s="59"/>
      <c r="N14" s="59"/>
      <c r="O14" s="59"/>
      <c r="P14" s="59"/>
    </row>
    <row r="15" spans="1:16" ht="12.75">
      <c r="A15" s="59"/>
      <c r="B15" s="59"/>
      <c r="C15" s="59"/>
      <c r="D15" s="59"/>
      <c r="E15" s="59"/>
      <c r="F15" s="59"/>
      <c r="G15" s="59"/>
      <c r="H15" s="59"/>
      <c r="I15" s="59"/>
      <c r="J15" s="59"/>
      <c r="K15" s="59"/>
      <c r="L15" s="59"/>
      <c r="M15" s="59"/>
      <c r="N15" s="59"/>
      <c r="O15" s="59"/>
      <c r="P15" s="59"/>
    </row>
    <row r="16" spans="1:16" ht="12.75">
      <c r="A16" s="59"/>
      <c r="B16" s="59"/>
      <c r="C16" s="59"/>
      <c r="D16" s="59"/>
      <c r="E16" s="59"/>
      <c r="F16" s="59"/>
      <c r="G16" s="59"/>
      <c r="H16" s="59"/>
      <c r="I16" s="59"/>
      <c r="J16" s="59"/>
      <c r="K16" s="59"/>
      <c r="L16" s="59"/>
      <c r="M16" s="59"/>
      <c r="N16" s="59"/>
      <c r="O16" s="59"/>
      <c r="P16" s="59"/>
    </row>
    <row r="17" spans="1:16" ht="12.75">
      <c r="A17" s="59"/>
      <c r="B17" s="59"/>
      <c r="C17" s="59"/>
      <c r="D17" s="59"/>
      <c r="E17" s="59"/>
      <c r="F17" s="59"/>
      <c r="G17" s="59"/>
      <c r="H17" s="59"/>
      <c r="I17" s="59"/>
      <c r="J17" s="59"/>
      <c r="K17" s="59"/>
      <c r="L17" s="59"/>
      <c r="M17" s="59"/>
      <c r="N17" s="59"/>
      <c r="O17" s="59"/>
      <c r="P17" s="59"/>
    </row>
    <row r="18" spans="1:16" ht="12.75">
      <c r="A18" s="59"/>
      <c r="B18" s="59"/>
      <c r="C18" s="59"/>
      <c r="D18" s="59"/>
      <c r="E18" s="59"/>
      <c r="F18" s="59"/>
      <c r="G18" s="59"/>
      <c r="H18" s="59"/>
      <c r="I18" s="59"/>
      <c r="J18" s="59"/>
      <c r="K18" s="59"/>
      <c r="L18" s="59"/>
      <c r="M18" s="59"/>
      <c r="N18" s="59"/>
      <c r="O18" s="59"/>
      <c r="P18" s="59"/>
    </row>
    <row r="19" spans="1:16" ht="12.75">
      <c r="A19" s="59"/>
      <c r="B19" s="59"/>
      <c r="C19" s="59"/>
      <c r="D19" s="59"/>
      <c r="E19" s="59"/>
      <c r="F19" s="59"/>
      <c r="G19" s="59"/>
      <c r="H19" s="59"/>
      <c r="I19" s="59"/>
      <c r="J19" s="59"/>
      <c r="K19" s="59"/>
      <c r="L19" s="59"/>
      <c r="M19" s="59"/>
      <c r="N19" s="59"/>
      <c r="O19" s="59"/>
      <c r="P19" s="59"/>
    </row>
    <row r="20" spans="1:16" ht="12.75">
      <c r="A20" s="59"/>
      <c r="B20" s="59"/>
      <c r="C20" s="59"/>
      <c r="D20" s="59"/>
      <c r="E20" s="59"/>
      <c r="F20" s="59"/>
      <c r="G20" s="59"/>
      <c r="H20" s="59"/>
      <c r="I20" s="59"/>
      <c r="J20" s="59"/>
      <c r="K20" s="59"/>
      <c r="L20" s="59"/>
      <c r="M20" s="59"/>
      <c r="N20" s="59"/>
      <c r="O20" s="59"/>
      <c r="P20" s="59"/>
    </row>
    <row r="21" spans="1:16" ht="12.75">
      <c r="A21" s="59"/>
      <c r="B21" s="59"/>
      <c r="C21" s="59"/>
      <c r="D21" s="59"/>
      <c r="E21" s="59"/>
      <c r="F21" s="59"/>
      <c r="G21" s="59"/>
      <c r="H21" s="59"/>
      <c r="I21" s="59"/>
      <c r="J21" s="59"/>
      <c r="K21" s="59"/>
      <c r="L21" s="59"/>
      <c r="M21" s="59"/>
      <c r="N21" s="59"/>
      <c r="O21" s="59"/>
      <c r="P21" s="59"/>
    </row>
    <row r="22" spans="1:16" ht="12.75">
      <c r="A22" s="59"/>
      <c r="B22" s="59"/>
      <c r="C22" s="59"/>
      <c r="D22" s="59"/>
      <c r="E22" s="59"/>
      <c r="F22" s="59"/>
      <c r="G22" s="59"/>
      <c r="H22" s="59"/>
      <c r="I22" s="59"/>
      <c r="J22" s="59"/>
      <c r="K22" s="59"/>
      <c r="L22" s="59"/>
      <c r="M22" s="59"/>
      <c r="N22" s="59"/>
      <c r="O22" s="59"/>
      <c r="P22" s="59"/>
    </row>
    <row r="23" spans="1:16" ht="12.75">
      <c r="A23" s="59"/>
      <c r="B23" s="59"/>
      <c r="C23" s="59"/>
      <c r="D23" s="59"/>
      <c r="E23" s="59"/>
      <c r="F23" s="59"/>
      <c r="G23" s="59"/>
      <c r="H23" s="59"/>
      <c r="I23" s="59"/>
      <c r="J23" s="59"/>
      <c r="K23" s="59"/>
      <c r="L23" s="59"/>
      <c r="M23" s="59"/>
      <c r="N23" s="59"/>
      <c r="O23" s="59"/>
      <c r="P23" s="59"/>
    </row>
    <row r="24" spans="1:16" ht="12.75">
      <c r="A24" s="59"/>
      <c r="B24" s="59"/>
      <c r="C24" s="59"/>
      <c r="D24" s="59"/>
      <c r="E24" s="59"/>
      <c r="F24" s="59"/>
      <c r="G24" s="59"/>
      <c r="H24" s="59"/>
      <c r="I24" s="59"/>
      <c r="J24" s="59"/>
      <c r="K24" s="59"/>
      <c r="L24" s="59"/>
      <c r="M24" s="59"/>
      <c r="N24" s="59"/>
      <c r="O24" s="59"/>
      <c r="P24" s="59"/>
    </row>
    <row r="25" spans="1:16" ht="12.75">
      <c r="A25" s="59"/>
      <c r="B25" s="59"/>
      <c r="C25" s="59"/>
      <c r="D25" s="59"/>
      <c r="E25" s="59"/>
      <c r="F25" s="59"/>
      <c r="G25" s="59"/>
      <c r="H25" s="59"/>
      <c r="I25" s="59"/>
      <c r="J25" s="59"/>
      <c r="K25" s="59"/>
      <c r="L25" s="59"/>
      <c r="M25" s="59"/>
      <c r="N25" s="59"/>
      <c r="O25" s="59"/>
      <c r="P25" s="59"/>
    </row>
    <row r="26" spans="1:16" ht="12.75">
      <c r="A26" s="59"/>
      <c r="B26" s="59"/>
      <c r="C26" s="59"/>
      <c r="D26" s="59"/>
      <c r="E26" s="59"/>
      <c r="F26" s="59"/>
      <c r="G26" s="59"/>
      <c r="H26" s="59"/>
      <c r="I26" s="59"/>
      <c r="J26" s="59"/>
      <c r="K26" s="59"/>
      <c r="L26" s="59"/>
      <c r="M26" s="59"/>
      <c r="N26" s="59"/>
      <c r="O26" s="59"/>
      <c r="P26" s="59"/>
    </row>
    <row r="27" spans="1:16" ht="12.75">
      <c r="A27" s="59"/>
      <c r="B27" s="59"/>
      <c r="C27" s="59"/>
      <c r="D27" s="59"/>
      <c r="E27" s="59"/>
      <c r="F27" s="59"/>
      <c r="G27" s="59"/>
      <c r="H27" s="59"/>
      <c r="I27" s="59"/>
      <c r="J27" s="59"/>
      <c r="K27" s="59"/>
      <c r="L27" s="59"/>
      <c r="M27" s="59"/>
      <c r="N27" s="59"/>
      <c r="O27" s="59"/>
      <c r="P27" s="59"/>
    </row>
    <row r="28" spans="1:16" ht="12.75">
      <c r="A28" s="59"/>
      <c r="B28" s="59"/>
      <c r="C28" s="59"/>
      <c r="D28" s="59"/>
      <c r="E28" s="59"/>
      <c r="F28" s="59"/>
      <c r="G28" s="59"/>
      <c r="H28" s="59"/>
      <c r="I28" s="59"/>
      <c r="J28" s="59"/>
      <c r="K28" s="59"/>
      <c r="L28" s="59"/>
      <c r="M28" s="59"/>
      <c r="N28" s="59"/>
      <c r="O28" s="59"/>
      <c r="P28" s="59"/>
    </row>
    <row r="29" spans="1:16" ht="12.75">
      <c r="A29" s="59"/>
      <c r="B29" s="59"/>
      <c r="C29" s="59"/>
      <c r="D29" s="59"/>
      <c r="E29" s="59"/>
      <c r="F29" s="59"/>
      <c r="G29" s="59"/>
      <c r="H29" s="59"/>
      <c r="I29" s="59"/>
      <c r="J29" s="59"/>
      <c r="K29" s="59"/>
      <c r="L29" s="59"/>
      <c r="M29" s="59"/>
      <c r="N29" s="59"/>
      <c r="O29" s="59"/>
      <c r="P29" s="59"/>
    </row>
    <row r="30" spans="1:16" ht="12.75">
      <c r="A30" s="59"/>
      <c r="B30" s="59"/>
      <c r="C30" s="59"/>
      <c r="D30" s="59"/>
      <c r="E30" s="59"/>
      <c r="F30" s="59"/>
      <c r="G30" s="59"/>
      <c r="H30" s="59"/>
      <c r="I30" s="59"/>
      <c r="J30" s="59"/>
      <c r="K30" s="59"/>
      <c r="L30" s="59"/>
      <c r="M30" s="59"/>
      <c r="N30" s="59"/>
      <c r="O30" s="59"/>
      <c r="P30" s="59"/>
    </row>
    <row r="31" spans="1:16" ht="12.75">
      <c r="A31" s="59"/>
      <c r="B31" s="59"/>
      <c r="C31" s="59"/>
      <c r="D31" s="59"/>
      <c r="E31" s="59"/>
      <c r="F31" s="59"/>
      <c r="G31" s="59"/>
      <c r="H31" s="59"/>
      <c r="I31" s="59"/>
      <c r="J31" s="59"/>
      <c r="K31" s="59"/>
      <c r="L31" s="59"/>
      <c r="M31" s="59"/>
      <c r="N31" s="59"/>
      <c r="O31" s="59"/>
      <c r="P31" s="59"/>
    </row>
    <row r="32" spans="1:16" ht="12.75">
      <c r="A32" s="59"/>
      <c r="B32" s="59"/>
      <c r="C32" s="59"/>
      <c r="D32" s="59"/>
      <c r="E32" s="59"/>
      <c r="F32" s="59"/>
      <c r="G32" s="59"/>
      <c r="H32" s="59"/>
      <c r="I32" s="59"/>
      <c r="J32" s="59"/>
      <c r="K32" s="59"/>
      <c r="L32" s="59"/>
      <c r="M32" s="59"/>
      <c r="N32" s="59"/>
      <c r="O32" s="59"/>
      <c r="P32" s="59"/>
    </row>
    <row r="33" spans="1:16" ht="12.75">
      <c r="A33" s="59"/>
      <c r="B33" s="59"/>
      <c r="C33" s="59"/>
      <c r="D33" s="59"/>
      <c r="E33" s="59"/>
      <c r="F33" s="59"/>
      <c r="G33" s="59"/>
      <c r="H33" s="59"/>
      <c r="I33" s="59"/>
      <c r="J33" s="59"/>
      <c r="K33" s="59"/>
      <c r="L33" s="59"/>
      <c r="M33" s="59"/>
      <c r="N33" s="59"/>
      <c r="O33" s="59"/>
      <c r="P33" s="59"/>
    </row>
    <row r="34" spans="1:16" ht="12.75">
      <c r="A34" s="59"/>
      <c r="B34" s="59"/>
      <c r="C34" s="59"/>
      <c r="D34" s="59"/>
      <c r="E34" s="59"/>
      <c r="F34" s="59"/>
      <c r="G34" s="59"/>
      <c r="H34" s="59"/>
      <c r="I34" s="59"/>
      <c r="J34" s="59"/>
      <c r="K34" s="59"/>
      <c r="L34" s="59"/>
      <c r="M34" s="59"/>
      <c r="N34" s="59"/>
      <c r="O34" s="59"/>
      <c r="P34" s="59"/>
    </row>
    <row r="35" spans="1:16" ht="12.75">
      <c r="A35" s="59"/>
      <c r="B35" s="59"/>
      <c r="C35" s="59"/>
      <c r="D35" s="59"/>
      <c r="E35" s="59"/>
      <c r="F35" s="59"/>
      <c r="G35" s="59"/>
      <c r="H35" s="59"/>
      <c r="I35" s="59"/>
      <c r="J35" s="59"/>
      <c r="K35" s="59"/>
      <c r="L35" s="59"/>
      <c r="M35" s="59"/>
      <c r="N35" s="59"/>
      <c r="O35" s="59"/>
      <c r="P35" s="59"/>
    </row>
    <row r="36" spans="1:16" ht="12.75">
      <c r="A36" s="59"/>
      <c r="B36" s="59"/>
      <c r="C36" s="59"/>
      <c r="D36" s="59"/>
      <c r="E36" s="59"/>
      <c r="F36" s="59"/>
      <c r="G36" s="59"/>
      <c r="H36" s="59"/>
      <c r="I36" s="59"/>
      <c r="J36" s="59"/>
      <c r="K36" s="59"/>
      <c r="L36" s="59"/>
      <c r="M36" s="59"/>
      <c r="N36" s="59"/>
      <c r="O36" s="59"/>
      <c r="P36" s="59"/>
    </row>
    <row r="37" spans="1:16" ht="12.75">
      <c r="A37" s="59"/>
      <c r="B37" s="59"/>
      <c r="C37" s="59"/>
      <c r="D37" s="59"/>
      <c r="E37" s="59"/>
      <c r="F37" s="59"/>
      <c r="G37" s="59"/>
      <c r="H37" s="59"/>
      <c r="I37" s="59"/>
      <c r="J37" s="59"/>
      <c r="K37" s="59"/>
      <c r="L37" s="59"/>
      <c r="M37" s="59"/>
      <c r="N37" s="59"/>
      <c r="O37" s="59"/>
      <c r="P37" s="59"/>
    </row>
    <row r="38" spans="1:16" ht="12.75">
      <c r="A38" s="59"/>
      <c r="B38" s="59"/>
      <c r="C38" s="59"/>
      <c r="D38" s="59"/>
      <c r="E38" s="59"/>
      <c r="F38" s="59"/>
      <c r="G38" s="59"/>
      <c r="H38" s="59"/>
      <c r="I38" s="59"/>
      <c r="J38" s="59"/>
      <c r="K38" s="59"/>
      <c r="L38" s="59"/>
      <c r="M38" s="59"/>
      <c r="N38" s="59"/>
      <c r="O38" s="59"/>
      <c r="P38" s="59"/>
    </row>
    <row r="39" spans="1:16" ht="12.75">
      <c r="A39" s="59"/>
      <c r="B39" s="59"/>
      <c r="C39" s="59"/>
      <c r="D39" s="59"/>
      <c r="E39" s="59"/>
      <c r="F39" s="59"/>
      <c r="G39" s="59"/>
      <c r="H39" s="59"/>
      <c r="I39" s="59"/>
      <c r="J39" s="59"/>
      <c r="K39" s="59"/>
      <c r="L39" s="59"/>
      <c r="M39" s="59"/>
      <c r="N39" s="59"/>
      <c r="O39" s="59"/>
      <c r="P39" s="59"/>
    </row>
  </sheetData>
  <sheetProtection sheet="1" objects="1" scenario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weak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Gerow</cp:lastModifiedBy>
  <cp:lastPrinted>2006-02-24T04:57:49Z</cp:lastPrinted>
  <dcterms:created xsi:type="dcterms:W3CDTF">2005-01-20T05:09:33Z</dcterms:created>
  <dcterms:modified xsi:type="dcterms:W3CDTF">2010-08-23T20:16:57Z</dcterms:modified>
  <cp:category/>
  <cp:version/>
  <cp:contentType/>
  <cp:contentStatus/>
</cp:coreProperties>
</file>